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tenretd\AppData\Local\Microsoft\Windows\INetCache\Content.Outlook\6Z1KVGFS\"/>
    </mc:Choice>
  </mc:AlternateContent>
  <xr:revisionPtr revIDLastSave="0" documentId="13_ncr:1_{C2A1C0D6-0AA6-432C-AA3A-E0EB0099A94D}" xr6:coauthVersionLast="47" xr6:coauthVersionMax="47" xr10:uidLastSave="{00000000-0000-0000-0000-000000000000}"/>
  <bookViews>
    <workbookView xWindow="-120" yWindow="-120" windowWidth="29040" windowHeight="15840" tabRatio="665" xr2:uid="{00000000-000D-0000-FFFF-FFFF00000000}"/>
  </bookViews>
  <sheets>
    <sheet name="Simulation" sheetId="27" r:id="rId1"/>
    <sheet name="Calculations Distribution" sheetId="31" state="veryHidden" r:id="rId2"/>
    <sheet name="Calculations End Users" sheetId="30" state="veryHidden" r:id="rId3"/>
    <sheet name="Parameters" sheetId="29" state="veryHidden" r:id="rId4"/>
    <sheet name="Industr. Clients + Power Plants" sheetId="26" state="veryHidden" r:id="rId5"/>
  </sheets>
  <definedNames>
    <definedName name="_xlnm._FilterDatabase" localSheetId="4" hidden="1">'Industr. Clients + Power Plants'!$A$1:$Q$235</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iterate="1" iterateCount="1000" iterateDelta="1E-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7" i="31" l="1"/>
  <c r="G118" i="31"/>
  <c r="G119" i="31"/>
  <c r="G120" i="31"/>
  <c r="G121" i="31"/>
  <c r="G122" i="31"/>
  <c r="G123" i="31"/>
  <c r="G124" i="31"/>
  <c r="G125" i="31"/>
  <c r="G126" i="31"/>
  <c r="G127" i="31"/>
  <c r="G128" i="31"/>
  <c r="C117" i="31"/>
  <c r="C118" i="31"/>
  <c r="C119" i="31"/>
  <c r="C120" i="31"/>
  <c r="C121" i="31"/>
  <c r="C122" i="31"/>
  <c r="C123" i="31"/>
  <c r="C124" i="31"/>
  <c r="C125" i="31"/>
  <c r="C126" i="31"/>
  <c r="C127" i="31"/>
  <c r="C128" i="31"/>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F131" i="30"/>
  <c r="F130" i="30"/>
  <c r="F129" i="30"/>
  <c r="F128" i="30"/>
  <c r="F127" i="30"/>
  <c r="F126" i="30"/>
  <c r="F125" i="30"/>
  <c r="F124" i="30"/>
  <c r="F123" i="30"/>
  <c r="F122" i="30"/>
  <c r="F121" i="30"/>
  <c r="F120" i="30"/>
  <c r="F119" i="30"/>
  <c r="F118" i="30"/>
  <c r="F117" i="30"/>
  <c r="F116" i="30"/>
  <c r="F114" i="30"/>
  <c r="F113" i="30"/>
  <c r="F112" i="30"/>
  <c r="F111" i="30"/>
  <c r="F110" i="30"/>
  <c r="F109" i="30"/>
  <c r="F108" i="30"/>
  <c r="F107" i="30"/>
  <c r="C120" i="30"/>
  <c r="C121" i="30"/>
  <c r="C122" i="30"/>
  <c r="C123" i="30"/>
  <c r="C124" i="30"/>
  <c r="C125" i="30"/>
  <c r="C126" i="30"/>
  <c r="C127" i="30"/>
  <c r="C128" i="30"/>
  <c r="C129" i="30"/>
  <c r="C130" i="30"/>
  <c r="C131" i="30"/>
  <c r="B141" i="30"/>
  <c r="E21" i="29"/>
  <c r="C33" i="31" l="1"/>
  <c r="G33" i="31"/>
  <c r="C34" i="31"/>
  <c r="G34" i="31"/>
  <c r="C35" i="31"/>
  <c r="G35" i="31"/>
  <c r="C36" i="31"/>
  <c r="G36" i="31"/>
  <c r="C37" i="31"/>
  <c r="G37" i="31"/>
  <c r="C38" i="31"/>
  <c r="G38" i="31"/>
  <c r="C39" i="31"/>
  <c r="G39" i="31"/>
  <c r="C40" i="31"/>
  <c r="G40" i="31"/>
  <c r="C41" i="31"/>
  <c r="G41" i="31"/>
  <c r="C42" i="31"/>
  <c r="G42" i="31"/>
  <c r="C43" i="31"/>
  <c r="G43" i="31"/>
  <c r="C44" i="31"/>
  <c r="G44" i="31"/>
  <c r="C45" i="31"/>
  <c r="G45" i="31"/>
  <c r="C46" i="31"/>
  <c r="G46" i="31"/>
  <c r="C47" i="31"/>
  <c r="G47" i="31"/>
  <c r="C48" i="31"/>
  <c r="G48" i="31"/>
  <c r="C49" i="31"/>
  <c r="G49" i="31"/>
  <c r="C50" i="31"/>
  <c r="G50" i="31"/>
  <c r="C51" i="31"/>
  <c r="G51" i="31"/>
  <c r="C52" i="31"/>
  <c r="G52" i="31"/>
  <c r="C53" i="31"/>
  <c r="G53" i="31"/>
  <c r="C54" i="31"/>
  <c r="G54" i="31"/>
  <c r="C55" i="31"/>
  <c r="G55" i="31"/>
  <c r="C56" i="31"/>
  <c r="G56" i="31"/>
  <c r="C57" i="31"/>
  <c r="G57" i="31"/>
  <c r="C58" i="31"/>
  <c r="G58" i="31"/>
  <c r="C59" i="31"/>
  <c r="G59" i="31"/>
  <c r="C60" i="31"/>
  <c r="G60" i="31"/>
  <c r="C61" i="31"/>
  <c r="G61" i="31"/>
  <c r="C62" i="31"/>
  <c r="G62" i="31"/>
  <c r="C63" i="31"/>
  <c r="G63" i="31"/>
  <c r="C64" i="31"/>
  <c r="G64" i="31"/>
  <c r="C65" i="31"/>
  <c r="G65" i="31"/>
  <c r="C66" i="31"/>
  <c r="G66" i="31"/>
  <c r="C67" i="31"/>
  <c r="G67" i="31"/>
  <c r="C68" i="31"/>
  <c r="G68" i="31"/>
  <c r="C69" i="31"/>
  <c r="G69" i="31"/>
  <c r="C70" i="31"/>
  <c r="G70" i="31"/>
  <c r="C71" i="31"/>
  <c r="G71" i="31"/>
  <c r="C72" i="31"/>
  <c r="G72" i="31"/>
  <c r="C73" i="31"/>
  <c r="G73" i="31"/>
  <c r="C74" i="31"/>
  <c r="G74" i="31"/>
  <c r="C75" i="31"/>
  <c r="G75" i="31"/>
  <c r="C76" i="31"/>
  <c r="G76" i="31"/>
  <c r="C77" i="31"/>
  <c r="G77" i="31"/>
  <c r="C78" i="31"/>
  <c r="G78" i="31"/>
  <c r="C79" i="31"/>
  <c r="G79" i="31"/>
  <c r="C80" i="31"/>
  <c r="G80" i="31"/>
  <c r="G105" i="31" l="1"/>
  <c r="G106" i="31"/>
  <c r="G107" i="31"/>
  <c r="G108" i="31"/>
  <c r="G109" i="31"/>
  <c r="G110" i="31"/>
  <c r="G111" i="31"/>
  <c r="G112" i="31"/>
  <c r="G113" i="31"/>
  <c r="G114" i="31"/>
  <c r="G115" i="31"/>
  <c r="G116" i="31"/>
  <c r="C105" i="31"/>
  <c r="C106" i="31"/>
  <c r="C107" i="31"/>
  <c r="C108" i="31"/>
  <c r="C109" i="31"/>
  <c r="C110" i="31"/>
  <c r="C111" i="31"/>
  <c r="C112" i="31"/>
  <c r="C113" i="31"/>
  <c r="C114" i="31"/>
  <c r="C115" i="31"/>
  <c r="C116" i="31"/>
  <c r="B135" i="30"/>
  <c r="G108" i="30"/>
  <c r="F115" i="30"/>
  <c r="C108" i="30"/>
  <c r="C109" i="30"/>
  <c r="C110" i="30"/>
  <c r="C111" i="30"/>
  <c r="C112" i="30"/>
  <c r="C113" i="30"/>
  <c r="C114" i="30"/>
  <c r="C115" i="30"/>
  <c r="C116" i="30"/>
  <c r="C117" i="30"/>
  <c r="C118" i="30"/>
  <c r="C119" i="30"/>
  <c r="B30" i="30"/>
  <c r="B29" i="30"/>
  <c r="B28" i="30"/>
  <c r="B27" i="30"/>
  <c r="F30" i="29" l="1"/>
  <c r="F27" i="29"/>
  <c r="F24" i="29"/>
  <c r="F21" i="29"/>
  <c r="E32" i="29"/>
  <c r="E31" i="29"/>
  <c r="E30" i="29"/>
  <c r="G30" i="29" s="1"/>
  <c r="E29" i="29"/>
  <c r="E28" i="29"/>
  <c r="E27" i="29"/>
  <c r="G27" i="29" s="1"/>
  <c r="E26" i="29"/>
  <c r="E25" i="29"/>
  <c r="G24" i="29" s="1"/>
  <c r="E24" i="29"/>
  <c r="E23" i="29"/>
  <c r="E22" i="29"/>
  <c r="G21" i="29"/>
  <c r="B21" i="31" l="1"/>
  <c r="B6" i="31" s="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81" i="31"/>
  <c r="C82" i="31"/>
  <c r="C83" i="31"/>
  <c r="C84" i="31"/>
  <c r="C85" i="31"/>
  <c r="C86" i="31"/>
  <c r="C87" i="31"/>
  <c r="C88" i="31"/>
  <c r="C89" i="31"/>
  <c r="C90" i="31"/>
  <c r="C91" i="31"/>
  <c r="C92" i="31"/>
  <c r="C93" i="31"/>
  <c r="C94" i="31"/>
  <c r="C95" i="31"/>
  <c r="C96" i="31"/>
  <c r="C97" i="31"/>
  <c r="C98" i="31"/>
  <c r="C99" i="31"/>
  <c r="C100" i="31"/>
  <c r="C101" i="31"/>
  <c r="C102" i="31"/>
  <c r="C103" i="31"/>
  <c r="C104" i="31"/>
  <c r="B24" i="31"/>
  <c r="B12" i="31" s="1"/>
  <c r="B140" i="31"/>
  <c r="B139" i="31"/>
  <c r="B138" i="31"/>
  <c r="B137" i="31"/>
  <c r="B136" i="31"/>
  <c r="B135" i="31"/>
  <c r="B134" i="31"/>
  <c r="B133" i="31"/>
  <c r="B132" i="31"/>
  <c r="B131" i="31"/>
  <c r="G104" i="31"/>
  <c r="G103" i="31"/>
  <c r="G102" i="31"/>
  <c r="G101" i="31"/>
  <c r="G100" i="31"/>
  <c r="G99" i="31"/>
  <c r="G98" i="31"/>
  <c r="G97" i="31"/>
  <c r="G96" i="31"/>
  <c r="G95" i="31"/>
  <c r="G94" i="31"/>
  <c r="G93" i="31"/>
  <c r="G92" i="31"/>
  <c r="G91" i="31"/>
  <c r="G90" i="31"/>
  <c r="G89" i="31"/>
  <c r="G88" i="31"/>
  <c r="G87" i="31"/>
  <c r="G86" i="31"/>
  <c r="G85" i="31"/>
  <c r="G84" i="31"/>
  <c r="G83" i="31"/>
  <c r="G82" i="31"/>
  <c r="G81" i="31"/>
  <c r="B29"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96" i="30"/>
  <c r="F84" i="30"/>
  <c r="D33" i="31" l="1"/>
  <c r="I125" i="31"/>
  <c r="I128" i="31"/>
  <c r="I119" i="31"/>
  <c r="I123" i="31"/>
  <c r="I126" i="31"/>
  <c r="I117" i="31"/>
  <c r="I120" i="31"/>
  <c r="I127" i="31"/>
  <c r="I118" i="31"/>
  <c r="I121" i="31"/>
  <c r="I124" i="31"/>
  <c r="I122" i="31"/>
  <c r="H33" i="31"/>
  <c r="I33" i="31"/>
  <c r="I35" i="31"/>
  <c r="I37" i="31"/>
  <c r="I39" i="31"/>
  <c r="I41" i="31"/>
  <c r="I43" i="31"/>
  <c r="I45" i="31"/>
  <c r="I47" i="31"/>
  <c r="I49" i="31"/>
  <c r="I51" i="31"/>
  <c r="I53" i="31"/>
  <c r="I55" i="31"/>
  <c r="I57" i="31"/>
  <c r="I59" i="31"/>
  <c r="I61" i="31"/>
  <c r="I63" i="31"/>
  <c r="I65" i="31"/>
  <c r="I67" i="31"/>
  <c r="I69" i="31"/>
  <c r="I71" i="31"/>
  <c r="I73" i="31"/>
  <c r="I75" i="31"/>
  <c r="I77" i="31"/>
  <c r="I79" i="31"/>
  <c r="I44" i="31"/>
  <c r="I58" i="31"/>
  <c r="I74" i="31"/>
  <c r="I78" i="31"/>
  <c r="I46" i="31"/>
  <c r="I64" i="31"/>
  <c r="I50" i="31"/>
  <c r="I60" i="31"/>
  <c r="I80" i="31"/>
  <c r="I48" i="31"/>
  <c r="I70" i="31"/>
  <c r="I68" i="31"/>
  <c r="I34" i="31"/>
  <c r="I36" i="31"/>
  <c r="I52" i="31"/>
  <c r="I66" i="31"/>
  <c r="I76" i="31"/>
  <c r="I42" i="31"/>
  <c r="I38" i="31"/>
  <c r="I54" i="31"/>
  <c r="I72" i="31"/>
  <c r="I40" i="31"/>
  <c r="I56" i="31"/>
  <c r="I62" i="31"/>
  <c r="I110" i="31"/>
  <c r="I106" i="31"/>
  <c r="I115" i="31"/>
  <c r="I111" i="31"/>
  <c r="I107" i="31"/>
  <c r="I113" i="31"/>
  <c r="I109" i="31"/>
  <c r="I116" i="31"/>
  <c r="I105" i="31"/>
  <c r="I112" i="31"/>
  <c r="I108" i="31"/>
  <c r="I114" i="31"/>
  <c r="B11" i="31"/>
  <c r="I91" i="31"/>
  <c r="I83" i="31"/>
  <c r="I99" i="31"/>
  <c r="I95" i="31"/>
  <c r="I103" i="31"/>
  <c r="I87" i="31"/>
  <c r="I102" i="31"/>
  <c r="I98" i="31"/>
  <c r="I94" i="31"/>
  <c r="I90" i="31"/>
  <c r="I86" i="31"/>
  <c r="I82" i="31"/>
  <c r="I101" i="31"/>
  <c r="I97" i="31"/>
  <c r="I93" i="31"/>
  <c r="I89" i="31"/>
  <c r="I85" i="31"/>
  <c r="I81" i="31"/>
  <c r="I104" i="31"/>
  <c r="I100" i="31"/>
  <c r="I96" i="31"/>
  <c r="I92" i="31"/>
  <c r="I88" i="31"/>
  <c r="I84" i="31"/>
  <c r="A5" i="31"/>
  <c r="A4" i="31"/>
  <c r="J118" i="31" l="1"/>
  <c r="J128" i="31"/>
  <c r="L128" i="31" s="1"/>
  <c r="J122" i="31"/>
  <c r="J119" i="31"/>
  <c r="J124" i="31"/>
  <c r="J123" i="31"/>
  <c r="J126" i="31"/>
  <c r="J121" i="31"/>
  <c r="J117" i="31"/>
  <c r="J120" i="31"/>
  <c r="J125" i="31"/>
  <c r="J127" i="31"/>
  <c r="J34" i="31"/>
  <c r="J36" i="31"/>
  <c r="J38" i="31"/>
  <c r="J40" i="31"/>
  <c r="J42" i="31"/>
  <c r="J44" i="31"/>
  <c r="J46" i="31"/>
  <c r="J48" i="31"/>
  <c r="J50" i="31"/>
  <c r="J52" i="31"/>
  <c r="J54" i="31"/>
  <c r="J56" i="31"/>
  <c r="J58" i="31"/>
  <c r="J60" i="31"/>
  <c r="J62" i="31"/>
  <c r="J64" i="31"/>
  <c r="J66" i="31"/>
  <c r="J68" i="31"/>
  <c r="J70" i="31"/>
  <c r="J72" i="31"/>
  <c r="J74" i="31"/>
  <c r="J76" i="31"/>
  <c r="J78" i="31"/>
  <c r="J80" i="31"/>
  <c r="L80" i="31" s="1"/>
  <c r="J33" i="31"/>
  <c r="J35" i="31"/>
  <c r="J37" i="31"/>
  <c r="J39" i="31"/>
  <c r="J41" i="31"/>
  <c r="J43" i="31"/>
  <c r="J45" i="31"/>
  <c r="J47" i="31"/>
  <c r="J49" i="31"/>
  <c r="J51" i="31"/>
  <c r="J53" i="31"/>
  <c r="J55" i="31"/>
  <c r="J57" i="31"/>
  <c r="J59" i="31"/>
  <c r="J61" i="31"/>
  <c r="J63" i="31"/>
  <c r="J65" i="31"/>
  <c r="J67" i="31"/>
  <c r="J69" i="31"/>
  <c r="J71" i="31"/>
  <c r="J73" i="31"/>
  <c r="J75" i="31"/>
  <c r="J77" i="31"/>
  <c r="J79" i="31"/>
  <c r="J108" i="31"/>
  <c r="J113" i="31"/>
  <c r="J105" i="31"/>
  <c r="J106" i="31"/>
  <c r="J109" i="31"/>
  <c r="J114" i="31"/>
  <c r="J110" i="31"/>
  <c r="J116" i="31"/>
  <c r="J115" i="31"/>
  <c r="J111" i="31"/>
  <c r="J112" i="31"/>
  <c r="J107" i="31"/>
  <c r="J92" i="31"/>
  <c r="J85" i="31"/>
  <c r="J88" i="31"/>
  <c r="J89" i="31"/>
  <c r="J90" i="31"/>
  <c r="J91" i="31"/>
  <c r="J86" i="31"/>
  <c r="J87" i="31"/>
  <c r="J96" i="31"/>
  <c r="J83" i="31"/>
  <c r="J98" i="31"/>
  <c r="J93" i="31"/>
  <c r="J94" i="31"/>
  <c r="J95" i="31"/>
  <c r="J101" i="31"/>
  <c r="J102" i="31"/>
  <c r="J104" i="31"/>
  <c r="J103" i="31"/>
  <c r="J99" i="31"/>
  <c r="J84" i="31"/>
  <c r="J100" i="31"/>
  <c r="J81" i="31"/>
  <c r="J97" i="31"/>
  <c r="J82" i="31"/>
  <c r="B13" i="30"/>
  <c r="B14" i="30"/>
  <c r="A6" i="30"/>
  <c r="E21" i="30"/>
  <c r="G18" i="27"/>
  <c r="B6" i="30"/>
  <c r="M127" i="31" l="1"/>
  <c r="L126" i="31"/>
  <c r="L124" i="31"/>
  <c r="M125" i="31"/>
  <c r="M128" i="31"/>
  <c r="L127" i="31"/>
  <c r="M120" i="31"/>
  <c r="L119" i="31"/>
  <c r="L116" i="31"/>
  <c r="M117" i="31"/>
  <c r="L125" i="31"/>
  <c r="M126" i="31"/>
  <c r="M123" i="31"/>
  <c r="L122" i="31"/>
  <c r="L121" i="31"/>
  <c r="M122" i="31"/>
  <c r="M124" i="31"/>
  <c r="L123" i="31"/>
  <c r="L120" i="31"/>
  <c r="M121" i="31"/>
  <c r="L117" i="31"/>
  <c r="M118" i="31"/>
  <c r="M119" i="31"/>
  <c r="L118" i="31"/>
  <c r="M60" i="31"/>
  <c r="L59" i="31"/>
  <c r="M58" i="31"/>
  <c r="L57" i="31"/>
  <c r="M108" i="31"/>
  <c r="L107" i="31"/>
  <c r="M44" i="31"/>
  <c r="L43" i="31"/>
  <c r="L74" i="31"/>
  <c r="M75" i="31"/>
  <c r="L106" i="31"/>
  <c r="M107" i="31"/>
  <c r="L56" i="31"/>
  <c r="M57" i="31"/>
  <c r="L54" i="31"/>
  <c r="M55" i="31"/>
  <c r="M76" i="31"/>
  <c r="L75" i="31"/>
  <c r="M42" i="31"/>
  <c r="L41" i="31"/>
  <c r="M72" i="31"/>
  <c r="L71" i="31"/>
  <c r="L40" i="31"/>
  <c r="M41" i="31"/>
  <c r="M70" i="31"/>
  <c r="L69" i="31"/>
  <c r="M38" i="31"/>
  <c r="L37" i="31"/>
  <c r="L38" i="31"/>
  <c r="M39" i="31"/>
  <c r="M112" i="31"/>
  <c r="L111" i="31"/>
  <c r="L113" i="31"/>
  <c r="M114" i="31"/>
  <c r="M68" i="31"/>
  <c r="L67" i="31"/>
  <c r="M52" i="31"/>
  <c r="L51" i="31"/>
  <c r="M36" i="31"/>
  <c r="L35" i="31"/>
  <c r="L68" i="31"/>
  <c r="M69" i="31"/>
  <c r="L52" i="31"/>
  <c r="M53" i="31"/>
  <c r="L36" i="31"/>
  <c r="M37" i="31"/>
  <c r="L76" i="31"/>
  <c r="M77" i="31"/>
  <c r="M74" i="31"/>
  <c r="L73" i="31"/>
  <c r="L42" i="31"/>
  <c r="M43" i="31"/>
  <c r="M40" i="31"/>
  <c r="L39" i="31"/>
  <c r="M113" i="31"/>
  <c r="L112" i="31"/>
  <c r="M66" i="31"/>
  <c r="L65" i="31"/>
  <c r="M50" i="31"/>
  <c r="L49" i="31"/>
  <c r="M34" i="31"/>
  <c r="L33" i="31"/>
  <c r="M33" i="31"/>
  <c r="L66" i="31"/>
  <c r="M67" i="31"/>
  <c r="L50" i="31"/>
  <c r="M51" i="31"/>
  <c r="L34" i="31"/>
  <c r="M35" i="31"/>
  <c r="L60" i="31"/>
  <c r="M61" i="31"/>
  <c r="L58" i="31"/>
  <c r="M59" i="31"/>
  <c r="L72" i="31"/>
  <c r="M73" i="31"/>
  <c r="L105" i="31"/>
  <c r="M106" i="31"/>
  <c r="L70" i="31"/>
  <c r="M71" i="31"/>
  <c r="M116" i="31"/>
  <c r="L115" i="31"/>
  <c r="M80" i="31"/>
  <c r="L79" i="31"/>
  <c r="M64" i="31"/>
  <c r="L63" i="31"/>
  <c r="M48" i="31"/>
  <c r="L47" i="31"/>
  <c r="L64" i="31"/>
  <c r="M65" i="31"/>
  <c r="L48" i="31"/>
  <c r="M49" i="31"/>
  <c r="L114" i="31"/>
  <c r="M115" i="31"/>
  <c r="L44" i="31"/>
  <c r="M45" i="31"/>
  <c r="M110" i="31"/>
  <c r="L109" i="31"/>
  <c r="M56" i="31"/>
  <c r="L55" i="31"/>
  <c r="M54" i="31"/>
  <c r="L53" i="31"/>
  <c r="L108" i="31"/>
  <c r="M109" i="31"/>
  <c r="L110" i="31"/>
  <c r="M111" i="31"/>
  <c r="M78" i="31"/>
  <c r="L77" i="31"/>
  <c r="M62" i="31"/>
  <c r="L61" i="31"/>
  <c r="M46" i="31"/>
  <c r="L45" i="31"/>
  <c r="M79" i="31"/>
  <c r="L78" i="31"/>
  <c r="L62" i="31"/>
  <c r="M63" i="31"/>
  <c r="L46" i="31"/>
  <c r="M47" i="31"/>
  <c r="L104" i="31"/>
  <c r="M105" i="31"/>
  <c r="L88" i="31"/>
  <c r="L100" i="31"/>
  <c r="L101" i="31"/>
  <c r="M101" i="31" s="1"/>
  <c r="L94" i="31"/>
  <c r="L83" i="31"/>
  <c r="L89" i="31"/>
  <c r="M89" i="31" s="1"/>
  <c r="N89" i="31" s="1"/>
  <c r="K89" i="31" s="1"/>
  <c r="L92" i="31"/>
  <c r="M93" i="31"/>
  <c r="L95" i="31"/>
  <c r="M95" i="31" s="1"/>
  <c r="N95" i="31" s="1"/>
  <c r="L86" i="31"/>
  <c r="L82" i="31"/>
  <c r="M82" i="31" s="1"/>
  <c r="M83" i="31"/>
  <c r="L84" i="31"/>
  <c r="M84" i="31" s="1"/>
  <c r="N84" i="31" s="1"/>
  <c r="L103" i="31"/>
  <c r="M104" i="31"/>
  <c r="M94" i="31"/>
  <c r="L93" i="31"/>
  <c r="L96" i="31"/>
  <c r="M96" i="31" s="1"/>
  <c r="N96" i="31" s="1"/>
  <c r="K96" i="31" s="1"/>
  <c r="L81" i="31"/>
  <c r="L102" i="31"/>
  <c r="M102" i="31" s="1"/>
  <c r="M103" i="31"/>
  <c r="N103" i="31" s="1"/>
  <c r="K103" i="31" s="1"/>
  <c r="L90" i="31"/>
  <c r="M90" i="31" s="1"/>
  <c r="N90" i="31" s="1"/>
  <c r="K90" i="31" s="1"/>
  <c r="M86" i="31"/>
  <c r="N86" i="31" s="1"/>
  <c r="L85" i="31"/>
  <c r="M85" i="31" s="1"/>
  <c r="M98" i="31"/>
  <c r="L97" i="31"/>
  <c r="M97" i="31" s="1"/>
  <c r="L99" i="31"/>
  <c r="M100" i="31"/>
  <c r="M81" i="31"/>
  <c r="L98" i="31"/>
  <c r="M99" i="31"/>
  <c r="L87" i="31"/>
  <c r="M87" i="31" s="1"/>
  <c r="N87" i="31" s="1"/>
  <c r="M88" i="31"/>
  <c r="L91" i="31"/>
  <c r="M91" i="31" s="1"/>
  <c r="N91" i="31" s="1"/>
  <c r="M92" i="31"/>
  <c r="N92" i="31" s="1"/>
  <c r="A5" i="30"/>
  <c r="A4" i="30"/>
  <c r="A7" i="30"/>
  <c r="E23" i="30"/>
  <c r="E24" i="30"/>
  <c r="E22" i="30"/>
  <c r="N124" i="31" l="1"/>
  <c r="O124" i="31" s="1"/>
  <c r="Q124" i="31"/>
  <c r="N122" i="31"/>
  <c r="O122" i="31" s="1"/>
  <c r="R122" i="31"/>
  <c r="N127" i="31"/>
  <c r="K127" i="31" s="1"/>
  <c r="N119" i="31"/>
  <c r="Q119" i="31" s="1"/>
  <c r="N120" i="31"/>
  <c r="P120" i="31" s="1"/>
  <c r="Q120" i="31"/>
  <c r="N118" i="31"/>
  <c r="O118" i="31" s="1"/>
  <c r="Q118" i="31"/>
  <c r="P118" i="31"/>
  <c r="O123" i="31"/>
  <c r="N123" i="31"/>
  <c r="Q123" i="31" s="1"/>
  <c r="R123" i="31"/>
  <c r="N128" i="31"/>
  <c r="Q128" i="31" s="1"/>
  <c r="N126" i="31"/>
  <c r="K126" i="31" s="1"/>
  <c r="N121" i="31"/>
  <c r="R121" i="31" s="1"/>
  <c r="N125" i="31"/>
  <c r="Q125" i="31" s="1"/>
  <c r="N117" i="31"/>
  <c r="K117" i="31" s="1"/>
  <c r="Q117" i="31"/>
  <c r="N74" i="31"/>
  <c r="K74" i="31" s="1"/>
  <c r="N116" i="31"/>
  <c r="Q116" i="31" s="1"/>
  <c r="N41" i="31"/>
  <c r="P41" i="31" s="1"/>
  <c r="N55" i="31"/>
  <c r="Q55" i="31" s="1"/>
  <c r="N109" i="31"/>
  <c r="Q109" i="31" s="1"/>
  <c r="N45" i="31"/>
  <c r="Q45" i="31" s="1"/>
  <c r="N71" i="31"/>
  <c r="R71" i="31" s="1"/>
  <c r="N61" i="31"/>
  <c r="P61" i="31" s="1"/>
  <c r="N33" i="31"/>
  <c r="R33" i="31" s="1"/>
  <c r="N113" i="31"/>
  <c r="K113" i="31" s="1"/>
  <c r="N36" i="31"/>
  <c r="Q36" i="31" s="1"/>
  <c r="N112" i="31"/>
  <c r="Q112" i="31" s="1"/>
  <c r="N44" i="31"/>
  <c r="K44" i="31" s="1"/>
  <c r="N77" i="31"/>
  <c r="Q77" i="31" s="1"/>
  <c r="N37" i="31"/>
  <c r="K37" i="31" s="1"/>
  <c r="N47" i="31"/>
  <c r="P47" i="31" s="1"/>
  <c r="N115" i="31"/>
  <c r="K115" i="31" s="1"/>
  <c r="N106" i="31"/>
  <c r="O106" i="31" s="1"/>
  <c r="N35" i="31"/>
  <c r="P35" i="31" s="1"/>
  <c r="N34" i="31"/>
  <c r="K34" i="31" s="1"/>
  <c r="N40" i="31"/>
  <c r="R40" i="31" s="1"/>
  <c r="N52" i="31"/>
  <c r="Q52" i="31" s="1"/>
  <c r="N72" i="31"/>
  <c r="P72" i="31" s="1"/>
  <c r="N108" i="31"/>
  <c r="R108" i="31" s="1"/>
  <c r="N65" i="31"/>
  <c r="Q65" i="31" s="1"/>
  <c r="N66" i="31"/>
  <c r="K66" i="31" s="1"/>
  <c r="N60" i="31"/>
  <c r="P60" i="31" s="1"/>
  <c r="N46" i="31"/>
  <c r="K46" i="31" s="1"/>
  <c r="N39" i="31"/>
  <c r="Q39" i="31" s="1"/>
  <c r="N62" i="31"/>
  <c r="K62" i="31" s="1"/>
  <c r="N54" i="31"/>
  <c r="P54" i="31" s="1"/>
  <c r="N64" i="31"/>
  <c r="K64" i="31" s="1"/>
  <c r="N43" i="31"/>
  <c r="Q43" i="31" s="1"/>
  <c r="N53" i="31"/>
  <c r="K53" i="31" s="1"/>
  <c r="N107" i="31"/>
  <c r="P107" i="31" s="1"/>
  <c r="N111" i="31"/>
  <c r="K111" i="31" s="1"/>
  <c r="N67" i="31"/>
  <c r="K67" i="31" s="1"/>
  <c r="N70" i="31"/>
  <c r="P70" i="31" s="1"/>
  <c r="N79" i="31"/>
  <c r="R79" i="31" s="1"/>
  <c r="N57" i="31"/>
  <c r="Q57" i="31" s="1"/>
  <c r="N63" i="31"/>
  <c r="K63" i="31" s="1"/>
  <c r="N49" i="31"/>
  <c r="P49" i="31" s="1"/>
  <c r="N73" i="31"/>
  <c r="K73" i="31" s="1"/>
  <c r="N51" i="31"/>
  <c r="Q51" i="31" s="1"/>
  <c r="N50" i="31"/>
  <c r="Q50" i="31" s="1"/>
  <c r="N68" i="31"/>
  <c r="P68" i="31" s="1"/>
  <c r="N38" i="31"/>
  <c r="K38" i="31" s="1"/>
  <c r="N42" i="31"/>
  <c r="R42" i="31" s="1"/>
  <c r="N58" i="31"/>
  <c r="Q58" i="31" s="1"/>
  <c r="N59" i="31"/>
  <c r="P59" i="31" s="1"/>
  <c r="N76" i="31"/>
  <c r="Q76" i="31" s="1"/>
  <c r="N110" i="31"/>
  <c r="R110" i="31" s="1"/>
  <c r="N48" i="31"/>
  <c r="K48" i="31" s="1"/>
  <c r="N78" i="31"/>
  <c r="O78" i="31" s="1"/>
  <c r="N56" i="31"/>
  <c r="R56" i="31" s="1"/>
  <c r="N80" i="31"/>
  <c r="K80" i="31" s="1"/>
  <c r="N69" i="31"/>
  <c r="P69" i="31" s="1"/>
  <c r="N114" i="31"/>
  <c r="K114" i="31" s="1"/>
  <c r="N75" i="31"/>
  <c r="Q75" i="31" s="1"/>
  <c r="N105" i="31"/>
  <c r="P105" i="31" s="1"/>
  <c r="O95" i="31"/>
  <c r="P95" i="31"/>
  <c r="R95" i="31"/>
  <c r="Q95" i="31"/>
  <c r="O87" i="31"/>
  <c r="P87" i="31"/>
  <c r="Q87" i="31"/>
  <c r="R87" i="31"/>
  <c r="O90" i="31"/>
  <c r="P90" i="31"/>
  <c r="Q90" i="31"/>
  <c r="R90" i="31"/>
  <c r="N94" i="31"/>
  <c r="O94" i="31" s="1"/>
  <c r="N93" i="31"/>
  <c r="O93" i="31" s="1"/>
  <c r="O86" i="31"/>
  <c r="R86" i="31"/>
  <c r="Q86" i="31"/>
  <c r="P86" i="31"/>
  <c r="O84" i="31"/>
  <c r="Q84" i="31"/>
  <c r="P84" i="31"/>
  <c r="R84" i="31"/>
  <c r="P89" i="31"/>
  <c r="O89" i="31"/>
  <c r="R89" i="31"/>
  <c r="Q89" i="31"/>
  <c r="N88" i="31"/>
  <c r="O88" i="31" s="1"/>
  <c r="O92" i="31"/>
  <c r="R92" i="31"/>
  <c r="P92" i="31"/>
  <c r="Q92" i="31"/>
  <c r="P91" i="31"/>
  <c r="O91" i="31"/>
  <c r="R91" i="31"/>
  <c r="Q91" i="31"/>
  <c r="P103" i="31"/>
  <c r="O103" i="31"/>
  <c r="Q103" i="31"/>
  <c r="R103" i="31"/>
  <c r="O96" i="31"/>
  <c r="P96" i="31"/>
  <c r="Q96" i="31"/>
  <c r="R96" i="31"/>
  <c r="N102" i="31"/>
  <c r="K102" i="31" s="1"/>
  <c r="K91" i="31"/>
  <c r="K95" i="31"/>
  <c r="N83" i="31"/>
  <c r="O83" i="31" s="1"/>
  <c r="K92" i="31"/>
  <c r="N98" i="31"/>
  <c r="O98" i="31" s="1"/>
  <c r="N104" i="31"/>
  <c r="O104" i="31" s="1"/>
  <c r="N100" i="31"/>
  <c r="O100" i="31" s="1"/>
  <c r="N82" i="31"/>
  <c r="O82" i="31" s="1"/>
  <c r="N85" i="31"/>
  <c r="P85" i="31" s="1"/>
  <c r="N97" i="31"/>
  <c r="O97" i="31" s="1"/>
  <c r="N101" i="31"/>
  <c r="K101" i="31" s="1"/>
  <c r="K84" i="31"/>
  <c r="K87" i="31"/>
  <c r="K86" i="31"/>
  <c r="N99" i="31"/>
  <c r="O99" i="31" s="1"/>
  <c r="N81" i="31"/>
  <c r="P81" i="31" s="1"/>
  <c r="B16" i="30"/>
  <c r="B143" i="30"/>
  <c r="B142" i="30"/>
  <c r="B140" i="30"/>
  <c r="B139" i="30"/>
  <c r="B138" i="30"/>
  <c r="B137" i="30"/>
  <c r="B136" i="30"/>
  <c r="B134"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P117" i="31" l="1"/>
  <c r="Q126" i="31"/>
  <c r="P126" i="31"/>
  <c r="O126" i="31"/>
  <c r="K124" i="31"/>
  <c r="R125" i="31"/>
  <c r="P128" i="31"/>
  <c r="P119" i="31"/>
  <c r="R124" i="31"/>
  <c r="P124" i="31"/>
  <c r="R117" i="31"/>
  <c r="R126" i="31"/>
  <c r="P123" i="31"/>
  <c r="O119" i="31"/>
  <c r="K118" i="31"/>
  <c r="K119" i="31"/>
  <c r="P127" i="31"/>
  <c r="R127" i="31"/>
  <c r="Q127" i="31"/>
  <c r="O127" i="31"/>
  <c r="O125" i="31"/>
  <c r="O128" i="31"/>
  <c r="K120" i="31"/>
  <c r="K122" i="31"/>
  <c r="P125" i="31"/>
  <c r="R128" i="31"/>
  <c r="O120" i="31"/>
  <c r="O117" i="31"/>
  <c r="K121" i="31"/>
  <c r="K128" i="31"/>
  <c r="P121" i="31"/>
  <c r="Q121" i="31"/>
  <c r="R118" i="31"/>
  <c r="Q122" i="31"/>
  <c r="K125" i="31"/>
  <c r="O121" i="31"/>
  <c r="K123" i="31"/>
  <c r="R120" i="31"/>
  <c r="R119" i="31"/>
  <c r="P122" i="31"/>
  <c r="D36" i="30"/>
  <c r="E36" i="30" s="1"/>
  <c r="I125" i="30"/>
  <c r="I126" i="30"/>
  <c r="I127" i="30"/>
  <c r="I121" i="30"/>
  <c r="I122" i="30"/>
  <c r="I123" i="30"/>
  <c r="I129" i="30"/>
  <c r="I130" i="30"/>
  <c r="I131" i="30"/>
  <c r="I124" i="30"/>
  <c r="I120" i="30"/>
  <c r="I128" i="30"/>
  <c r="R80" i="31"/>
  <c r="O108" i="31"/>
  <c r="O113" i="31"/>
  <c r="P108" i="31"/>
  <c r="H36" i="30"/>
  <c r="I116" i="30"/>
  <c r="I109" i="30"/>
  <c r="I117" i="30"/>
  <c r="I110" i="30"/>
  <c r="I118" i="30"/>
  <c r="I111" i="30"/>
  <c r="I119" i="30"/>
  <c r="I112" i="30"/>
  <c r="I108" i="30"/>
  <c r="I113" i="30"/>
  <c r="I107" i="30"/>
  <c r="I114" i="30"/>
  <c r="I115" i="30"/>
  <c r="K52" i="31"/>
  <c r="Q66" i="31"/>
  <c r="P71" i="31"/>
  <c r="K72" i="31"/>
  <c r="R112" i="31"/>
  <c r="K56" i="31"/>
  <c r="R63" i="31"/>
  <c r="P52" i="31"/>
  <c r="O77" i="31"/>
  <c r="R48" i="31"/>
  <c r="Q62" i="31"/>
  <c r="R77" i="31"/>
  <c r="O56" i="31"/>
  <c r="P64" i="31"/>
  <c r="O44" i="31"/>
  <c r="Q113" i="31"/>
  <c r="R50" i="31"/>
  <c r="P75" i="31"/>
  <c r="P44" i="31"/>
  <c r="O55" i="31"/>
  <c r="R75" i="31"/>
  <c r="P63" i="31"/>
  <c r="O65" i="31"/>
  <c r="Q44" i="31"/>
  <c r="R55" i="31"/>
  <c r="Q107" i="31"/>
  <c r="K50" i="31"/>
  <c r="Q63" i="31"/>
  <c r="O46" i="31"/>
  <c r="P34" i="31"/>
  <c r="Q71" i="31"/>
  <c r="R64" i="31"/>
  <c r="P114" i="31"/>
  <c r="O42" i="31"/>
  <c r="Q73" i="31"/>
  <c r="R53" i="31"/>
  <c r="Q46" i="31"/>
  <c r="K108" i="31"/>
  <c r="R52" i="31"/>
  <c r="K35" i="31"/>
  <c r="P77" i="31"/>
  <c r="R44" i="31"/>
  <c r="K33" i="31"/>
  <c r="O43" i="31"/>
  <c r="R46" i="31"/>
  <c r="P40" i="31"/>
  <c r="O38" i="31"/>
  <c r="P111" i="31"/>
  <c r="K105" i="31"/>
  <c r="P110" i="31"/>
  <c r="P38" i="31"/>
  <c r="P51" i="31"/>
  <c r="Q111" i="31"/>
  <c r="O64" i="31"/>
  <c r="O39" i="31"/>
  <c r="Q40" i="31"/>
  <c r="R115" i="31"/>
  <c r="K77" i="31"/>
  <c r="O116" i="31"/>
  <c r="K51" i="31"/>
  <c r="K47" i="31"/>
  <c r="K116" i="31"/>
  <c r="Q38" i="31"/>
  <c r="R38" i="31"/>
  <c r="P73" i="31"/>
  <c r="Q64" i="31"/>
  <c r="P46" i="31"/>
  <c r="R34" i="31"/>
  <c r="O114" i="31"/>
  <c r="K69" i="31"/>
  <c r="P78" i="31"/>
  <c r="O110" i="31"/>
  <c r="K76" i="31"/>
  <c r="P42" i="31"/>
  <c r="K57" i="31"/>
  <c r="P67" i="31"/>
  <c r="R107" i="31"/>
  <c r="P43" i="31"/>
  <c r="P39" i="31"/>
  <c r="P65" i="31"/>
  <c r="P37" i="31"/>
  <c r="P36" i="31"/>
  <c r="R113" i="31"/>
  <c r="R61" i="31"/>
  <c r="K45" i="31"/>
  <c r="R76" i="31"/>
  <c r="R57" i="31"/>
  <c r="R45" i="31"/>
  <c r="R69" i="31"/>
  <c r="R114" i="31"/>
  <c r="Q69" i="31"/>
  <c r="O48" i="31"/>
  <c r="K110" i="31"/>
  <c r="Q42" i="31"/>
  <c r="P50" i="31"/>
  <c r="R51" i="31"/>
  <c r="O79" i="31"/>
  <c r="R67" i="31"/>
  <c r="K107" i="31"/>
  <c r="K43" i="31"/>
  <c r="Q54" i="31"/>
  <c r="K39" i="31"/>
  <c r="Q60" i="31"/>
  <c r="K65" i="31"/>
  <c r="K40" i="31"/>
  <c r="R37" i="31"/>
  <c r="K36" i="31"/>
  <c r="O33" i="31"/>
  <c r="O109" i="31"/>
  <c r="O75" i="31"/>
  <c r="Q114" i="31"/>
  <c r="P48" i="31"/>
  <c r="Q110" i="31"/>
  <c r="P58" i="31"/>
  <c r="K42" i="31"/>
  <c r="O73" i="31"/>
  <c r="P79" i="31"/>
  <c r="Q67" i="31"/>
  <c r="P53" i="31"/>
  <c r="R43" i="31"/>
  <c r="P62" i="31"/>
  <c r="R39" i="31"/>
  <c r="P66" i="31"/>
  <c r="R65" i="31"/>
  <c r="O34" i="31"/>
  <c r="O115" i="31"/>
  <c r="Q37" i="31"/>
  <c r="R36" i="31"/>
  <c r="P33" i="31"/>
  <c r="K71" i="31"/>
  <c r="P109" i="31"/>
  <c r="R116" i="31"/>
  <c r="O69" i="31"/>
  <c r="Q48" i="31"/>
  <c r="O76" i="31"/>
  <c r="K58" i="31"/>
  <c r="O57" i="31"/>
  <c r="K79" i="31"/>
  <c r="P113" i="31"/>
  <c r="O45" i="31"/>
  <c r="K75" i="31"/>
  <c r="P76" i="31"/>
  <c r="R58" i="31"/>
  <c r="O51" i="31"/>
  <c r="R73" i="31"/>
  <c r="P57" i="31"/>
  <c r="Q79" i="31"/>
  <c r="Q53" i="31"/>
  <c r="R62" i="31"/>
  <c r="R66" i="31"/>
  <c r="O40" i="31"/>
  <c r="Q34" i="31"/>
  <c r="Q33" i="31"/>
  <c r="P45" i="31"/>
  <c r="R74" i="31"/>
  <c r="P56" i="31"/>
  <c r="Q78" i="31"/>
  <c r="K59" i="31"/>
  <c r="K68" i="31"/>
  <c r="K49" i="31"/>
  <c r="K70" i="31"/>
  <c r="O111" i="31"/>
  <c r="K54" i="31"/>
  <c r="K60" i="31"/>
  <c r="Q108" i="31"/>
  <c r="Q72" i="31"/>
  <c r="R35" i="31"/>
  <c r="P115" i="31"/>
  <c r="R47" i="31"/>
  <c r="K112" i="31"/>
  <c r="K61" i="31"/>
  <c r="R109" i="31"/>
  <c r="P55" i="31"/>
  <c r="K41" i="31"/>
  <c r="P116" i="31"/>
  <c r="R59" i="31"/>
  <c r="Q68" i="31"/>
  <c r="R49" i="31"/>
  <c r="Q70" i="31"/>
  <c r="O80" i="31"/>
  <c r="K78" i="31"/>
  <c r="Q59" i="31"/>
  <c r="R68" i="31"/>
  <c r="Q49" i="31"/>
  <c r="R70" i="31"/>
  <c r="R54" i="31"/>
  <c r="R60" i="31"/>
  <c r="R72" i="31"/>
  <c r="Q35" i="31"/>
  <c r="Q47" i="31"/>
  <c r="P112" i="31"/>
  <c r="Q61" i="31"/>
  <c r="K109" i="31"/>
  <c r="R41" i="31"/>
  <c r="O74" i="31"/>
  <c r="K88" i="31"/>
  <c r="P80" i="31"/>
  <c r="Q56" i="31"/>
  <c r="R78" i="31"/>
  <c r="O58" i="31"/>
  <c r="O50" i="31"/>
  <c r="O63" i="31"/>
  <c r="O67" i="31"/>
  <c r="R111" i="31"/>
  <c r="O53" i="31"/>
  <c r="O62" i="31"/>
  <c r="O66" i="31"/>
  <c r="O52" i="31"/>
  <c r="P106" i="31"/>
  <c r="Q115" i="31"/>
  <c r="O37" i="31"/>
  <c r="O36" i="31"/>
  <c r="O71" i="31"/>
  <c r="K55" i="31"/>
  <c r="Q41" i="31"/>
  <c r="P74" i="31"/>
  <c r="K106" i="31"/>
  <c r="O59" i="31"/>
  <c r="O68" i="31"/>
  <c r="O49" i="31"/>
  <c r="O70" i="31"/>
  <c r="O54" i="31"/>
  <c r="O60" i="31"/>
  <c r="O72" i="31"/>
  <c r="O35" i="31"/>
  <c r="R106" i="31"/>
  <c r="O47" i="31"/>
  <c r="O112" i="31"/>
  <c r="O61" i="31"/>
  <c r="O105" i="31"/>
  <c r="Q74" i="31"/>
  <c r="Q80" i="31"/>
  <c r="O107" i="31"/>
  <c r="Q106" i="31"/>
  <c r="R105" i="31"/>
  <c r="O41" i="31"/>
  <c r="Q105" i="31"/>
  <c r="K94" i="31"/>
  <c r="B20" i="27"/>
  <c r="F20" i="27"/>
  <c r="K93" i="31"/>
  <c r="R94" i="31"/>
  <c r="Q94" i="31"/>
  <c r="P98" i="31"/>
  <c r="R83" i="31"/>
  <c r="R100" i="31"/>
  <c r="R81" i="31"/>
  <c r="R104" i="31"/>
  <c r="O81" i="31"/>
  <c r="R82" i="31"/>
  <c r="Q93" i="31"/>
  <c r="R97" i="31"/>
  <c r="Q99" i="31"/>
  <c r="R98" i="31"/>
  <c r="R93" i="31"/>
  <c r="Q88" i="31"/>
  <c r="O101" i="31"/>
  <c r="P102" i="31"/>
  <c r="R85" i="31"/>
  <c r="P82" i="31"/>
  <c r="P101" i="31"/>
  <c r="Q83" i="31"/>
  <c r="Q104" i="31"/>
  <c r="Q97" i="31"/>
  <c r="P100" i="31"/>
  <c r="R99" i="31"/>
  <c r="R88" i="31"/>
  <c r="R102" i="31"/>
  <c r="Q85" i="31"/>
  <c r="Q81" i="31"/>
  <c r="Q82" i="31"/>
  <c r="Q98" i="31"/>
  <c r="R101" i="31"/>
  <c r="P93" i="31"/>
  <c r="P94" i="31"/>
  <c r="P83" i="31"/>
  <c r="P104" i="31"/>
  <c r="P97" i="31"/>
  <c r="Q100" i="31"/>
  <c r="P99" i="31"/>
  <c r="P88" i="31"/>
  <c r="O102" i="31"/>
  <c r="O85" i="31"/>
  <c r="Q102" i="31"/>
  <c r="Q101" i="31"/>
  <c r="K82" i="31"/>
  <c r="K98" i="31"/>
  <c r="K97" i="31"/>
  <c r="K100" i="31"/>
  <c r="K81" i="31"/>
  <c r="K85" i="31"/>
  <c r="K83" i="31"/>
  <c r="K99" i="31"/>
  <c r="K104" i="31"/>
  <c r="I36" i="30"/>
  <c r="I96" i="30"/>
  <c r="I100" i="30"/>
  <c r="I104" i="30"/>
  <c r="I97" i="30"/>
  <c r="I101" i="30"/>
  <c r="I105" i="30"/>
  <c r="I98" i="30"/>
  <c r="I102" i="30"/>
  <c r="I106" i="30"/>
  <c r="I99" i="30"/>
  <c r="I103"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B19" i="31" l="1"/>
  <c r="B20" i="31"/>
  <c r="B5" i="31" s="1"/>
  <c r="J76" i="30"/>
  <c r="L76" i="30" s="1"/>
  <c r="J125" i="30"/>
  <c r="J126" i="30"/>
  <c r="J127" i="30"/>
  <c r="J124" i="30"/>
  <c r="J121" i="30"/>
  <c r="J122" i="30"/>
  <c r="J123" i="30"/>
  <c r="J129" i="30"/>
  <c r="J130" i="30"/>
  <c r="J131" i="30"/>
  <c r="L131" i="30" s="1"/>
  <c r="J120" i="30"/>
  <c r="J128" i="30"/>
  <c r="O120" i="30"/>
  <c r="O121" i="30"/>
  <c r="O122" i="30"/>
  <c r="Q123" i="30"/>
  <c r="O128" i="30"/>
  <c r="O129" i="30"/>
  <c r="O130" i="30"/>
  <c r="Q131" i="30"/>
  <c r="P120" i="30"/>
  <c r="P121" i="30"/>
  <c r="P122" i="30"/>
  <c r="R123" i="30"/>
  <c r="P128" i="30"/>
  <c r="P129" i="30"/>
  <c r="P130" i="30"/>
  <c r="R131" i="30"/>
  <c r="Q130" i="30"/>
  <c r="Q120" i="30"/>
  <c r="R120" i="30"/>
  <c r="R121" i="30"/>
  <c r="R122" i="30"/>
  <c r="P127" i="30"/>
  <c r="R128" i="30"/>
  <c r="R129" i="30"/>
  <c r="R130" i="30"/>
  <c r="O124" i="30"/>
  <c r="O125" i="30"/>
  <c r="O126" i="30"/>
  <c r="Q127" i="30"/>
  <c r="P124" i="30"/>
  <c r="P125" i="30"/>
  <c r="P126" i="30"/>
  <c r="R127" i="30"/>
  <c r="P123" i="30"/>
  <c r="R124" i="30"/>
  <c r="R125" i="30"/>
  <c r="R126" i="30"/>
  <c r="P131" i="30"/>
  <c r="Q121" i="30"/>
  <c r="Q122" i="30"/>
  <c r="O127" i="30"/>
  <c r="Q128" i="30"/>
  <c r="Q129" i="30"/>
  <c r="O123" i="30"/>
  <c r="Q124" i="30"/>
  <c r="Q125" i="30"/>
  <c r="Q126" i="30"/>
  <c r="O131" i="30"/>
  <c r="L28" i="27"/>
  <c r="P109" i="30"/>
  <c r="O97" i="30"/>
  <c r="J112" i="30"/>
  <c r="J119" i="30"/>
  <c r="J117" i="30"/>
  <c r="J118" i="30"/>
  <c r="J114" i="30"/>
  <c r="J109" i="30"/>
  <c r="J113" i="30"/>
  <c r="J108" i="30"/>
  <c r="J116" i="30"/>
  <c r="J115" i="30"/>
  <c r="J111" i="30"/>
  <c r="J110" i="30"/>
  <c r="R112" i="30"/>
  <c r="Q112" i="30"/>
  <c r="Q109" i="30"/>
  <c r="R119" i="30"/>
  <c r="Q115" i="30"/>
  <c r="R113" i="30"/>
  <c r="Q111" i="30"/>
  <c r="R111" i="30"/>
  <c r="R118" i="30"/>
  <c r="Q113" i="30"/>
  <c r="Q118" i="30"/>
  <c r="R115" i="30"/>
  <c r="R116" i="30"/>
  <c r="R109" i="30"/>
  <c r="Q119" i="30"/>
  <c r="Q116" i="30"/>
  <c r="Q117" i="30"/>
  <c r="R110" i="30"/>
  <c r="R117" i="30"/>
  <c r="Q114" i="30"/>
  <c r="Q110" i="30"/>
  <c r="R114" i="30"/>
  <c r="P114" i="30"/>
  <c r="P110" i="30"/>
  <c r="P118" i="30"/>
  <c r="P119" i="30"/>
  <c r="P115" i="30"/>
  <c r="P113" i="30"/>
  <c r="P116" i="30"/>
  <c r="P111" i="30"/>
  <c r="P117" i="30"/>
  <c r="P112" i="30"/>
  <c r="O112" i="30"/>
  <c r="O119" i="30"/>
  <c r="O116" i="30"/>
  <c r="O111" i="30"/>
  <c r="O115" i="30"/>
  <c r="O113" i="30"/>
  <c r="O118" i="30"/>
  <c r="O114" i="30"/>
  <c r="O109" i="30"/>
  <c r="O117" i="30"/>
  <c r="O110" i="30"/>
  <c r="J96" i="30"/>
  <c r="L96" i="30" s="1"/>
  <c r="J100" i="30"/>
  <c r="L100" i="30" s="1"/>
  <c r="J104" i="30"/>
  <c r="L104" i="30" s="1"/>
  <c r="J97" i="30"/>
  <c r="L97" i="30" s="1"/>
  <c r="J101" i="30"/>
  <c r="L101" i="30" s="1"/>
  <c r="J105" i="30"/>
  <c r="L105" i="30" s="1"/>
  <c r="J98" i="30"/>
  <c r="L98" i="30" s="1"/>
  <c r="J102" i="30"/>
  <c r="L102" i="30" s="1"/>
  <c r="J106" i="30"/>
  <c r="L106" i="30" s="1"/>
  <c r="J99" i="30"/>
  <c r="L99" i="30" s="1"/>
  <c r="J103" i="30"/>
  <c r="L103" i="30" s="1"/>
  <c r="J107" i="30"/>
  <c r="B24" i="30"/>
  <c r="B7" i="30" s="1"/>
  <c r="J58" i="30"/>
  <c r="G17" i="27"/>
  <c r="J81" i="30"/>
  <c r="L81" i="30" s="1"/>
  <c r="J46" i="30"/>
  <c r="J42" i="30"/>
  <c r="L42" i="30" s="1"/>
  <c r="J38" i="30"/>
  <c r="J45" i="30"/>
  <c r="J41" i="30"/>
  <c r="J37" i="30"/>
  <c r="L37" i="30" s="1"/>
  <c r="J44" i="30"/>
  <c r="L44" i="30" s="1"/>
  <c r="J40" i="30"/>
  <c r="J36" i="30"/>
  <c r="J47" i="30"/>
  <c r="J43" i="30"/>
  <c r="L43" i="30" s="1"/>
  <c r="J39" i="30"/>
  <c r="L39" i="30" s="1"/>
  <c r="J85" i="30"/>
  <c r="L85" i="30" s="1"/>
  <c r="J59" i="30"/>
  <c r="J73" i="30"/>
  <c r="J69" i="30"/>
  <c r="J65" i="30"/>
  <c r="J89" i="30"/>
  <c r="L89" i="30" s="1"/>
  <c r="J93" i="30"/>
  <c r="L93" i="30" s="1"/>
  <c r="J50" i="30"/>
  <c r="J77" i="30"/>
  <c r="J61" i="30"/>
  <c r="J90" i="30"/>
  <c r="L90" i="30" s="1"/>
  <c r="J57" i="30"/>
  <c r="J49" i="30"/>
  <c r="J82" i="30"/>
  <c r="L82" i="30" s="1"/>
  <c r="J68" i="30"/>
  <c r="J64" i="30"/>
  <c r="L64" i="30" s="1"/>
  <c r="J60" i="30"/>
  <c r="J56" i="30"/>
  <c r="J83" i="30"/>
  <c r="L83" i="30" s="1"/>
  <c r="J87" i="30"/>
  <c r="L87" i="30" s="1"/>
  <c r="J91" i="30"/>
  <c r="L91" i="30" s="1"/>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L78" i="30" s="1"/>
  <c r="J74" i="30"/>
  <c r="J70" i="30"/>
  <c r="J66" i="30"/>
  <c r="J62" i="30"/>
  <c r="J54" i="30"/>
  <c r="L123" i="30" l="1"/>
  <c r="M124" i="30"/>
  <c r="N124" i="30" s="1"/>
  <c r="K124" i="30" s="1"/>
  <c r="L122" i="30"/>
  <c r="M123" i="30"/>
  <c r="N123" i="30" s="1"/>
  <c r="K123" i="30" s="1"/>
  <c r="L121" i="30"/>
  <c r="M122" i="30"/>
  <c r="L128" i="30"/>
  <c r="M129" i="30"/>
  <c r="L124" i="30"/>
  <c r="M125" i="30"/>
  <c r="L119" i="30"/>
  <c r="M120" i="30"/>
  <c r="N120" i="30" s="1"/>
  <c r="K120" i="30" s="1"/>
  <c r="L120" i="30"/>
  <c r="M121" i="30"/>
  <c r="L127" i="30"/>
  <c r="M128" i="30"/>
  <c r="N128" i="30" s="1"/>
  <c r="K128" i="30" s="1"/>
  <c r="L126" i="30"/>
  <c r="M127" i="30"/>
  <c r="N127" i="30" s="1"/>
  <c r="K127" i="30" s="1"/>
  <c r="L130" i="30"/>
  <c r="M131" i="30"/>
  <c r="N131" i="30" s="1"/>
  <c r="K131" i="30" s="1"/>
  <c r="L125" i="30"/>
  <c r="M126" i="30"/>
  <c r="L129" i="30"/>
  <c r="M130" i="30"/>
  <c r="L113" i="30"/>
  <c r="M114" i="30"/>
  <c r="N114" i="30" s="1"/>
  <c r="K114" i="30" s="1"/>
  <c r="L109" i="30"/>
  <c r="M110" i="30"/>
  <c r="M115" i="30"/>
  <c r="L114" i="30"/>
  <c r="M111" i="30"/>
  <c r="L110" i="30"/>
  <c r="L118" i="30"/>
  <c r="M119" i="30"/>
  <c r="M112" i="30"/>
  <c r="N112" i="30" s="1"/>
  <c r="K112" i="30" s="1"/>
  <c r="L111" i="30"/>
  <c r="L117" i="30"/>
  <c r="M118" i="30"/>
  <c r="M116" i="30"/>
  <c r="L115" i="30"/>
  <c r="L116" i="30"/>
  <c r="M117" i="30"/>
  <c r="L112" i="30"/>
  <c r="M113" i="30"/>
  <c r="L108" i="30"/>
  <c r="M109" i="30"/>
  <c r="L107" i="30"/>
  <c r="M108" i="30"/>
  <c r="L36" i="30"/>
  <c r="L57" i="30"/>
  <c r="L40" i="30"/>
  <c r="L59" i="30"/>
  <c r="L58" i="30"/>
  <c r="L38"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M54" i="30" s="1"/>
  <c r="L52" i="30"/>
  <c r="M52" i="30" s="1"/>
  <c r="L46" i="30"/>
  <c r="M46" i="30" s="1"/>
  <c r="L53" i="30"/>
  <c r="L48" i="30"/>
  <c r="M48" i="30" s="1"/>
  <c r="L50" i="30"/>
  <c r="M50" i="30" s="1"/>
  <c r="L45" i="30"/>
  <c r="M45" i="30" s="1"/>
  <c r="M37" i="30"/>
  <c r="M89" i="30"/>
  <c r="M57" i="30"/>
  <c r="M58" i="30"/>
  <c r="M75" i="30"/>
  <c r="L68" i="30"/>
  <c r="M68" i="30" s="1"/>
  <c r="L49" i="30"/>
  <c r="M49" i="30" s="1"/>
  <c r="M76" i="30"/>
  <c r="M91" i="30"/>
  <c r="M38" i="30"/>
  <c r="M80" i="30"/>
  <c r="M36" i="30"/>
  <c r="M43" i="30"/>
  <c r="M59" i="30"/>
  <c r="M87" i="30"/>
  <c r="M90" i="30"/>
  <c r="M53" i="30"/>
  <c r="L60" i="30"/>
  <c r="M60" i="30" s="1"/>
  <c r="M92" i="30"/>
  <c r="L74" i="30"/>
  <c r="M74" i="30" s="1"/>
  <c r="M81" i="30"/>
  <c r="L47" i="30"/>
  <c r="M47" i="30" s="1"/>
  <c r="M42" i="30"/>
  <c r="M88" i="30"/>
  <c r="M73" i="30"/>
  <c r="M78" i="30"/>
  <c r="M40" i="30"/>
  <c r="L71" i="30"/>
  <c r="M71" i="30" s="1"/>
  <c r="L72" i="30"/>
  <c r="M72" i="30" s="1"/>
  <c r="M86" i="30"/>
  <c r="M44" i="30"/>
  <c r="L41" i="30"/>
  <c r="M41" i="30" s="1"/>
  <c r="M95" i="30"/>
  <c r="L51" i="30"/>
  <c r="M51" i="30" s="1"/>
  <c r="M94" i="30"/>
  <c r="M85" i="30"/>
  <c r="M84" i="30"/>
  <c r="M79" i="30"/>
  <c r="M83" i="30"/>
  <c r="M93" i="30"/>
  <c r="M82" i="30"/>
  <c r="M39" i="30"/>
  <c r="M56" i="30"/>
  <c r="M64" i="30"/>
  <c r="M77" i="30"/>
  <c r="L55" i="30"/>
  <c r="M55" i="30" s="1"/>
  <c r="M66" i="30"/>
  <c r="N130" i="30" l="1"/>
  <c r="K130" i="30" s="1"/>
  <c r="N129" i="30"/>
  <c r="K129" i="30" s="1"/>
  <c r="N126" i="30"/>
  <c r="K126" i="30" s="1"/>
  <c r="N121" i="30"/>
  <c r="K121" i="30" s="1"/>
  <c r="N122" i="30"/>
  <c r="K122" i="30" s="1"/>
  <c r="N125" i="30"/>
  <c r="K125" i="30" s="1"/>
  <c r="L26" i="27"/>
  <c r="N117" i="30"/>
  <c r="K117" i="30" s="1"/>
  <c r="N116" i="30"/>
  <c r="K116" i="30" s="1"/>
  <c r="N111" i="30"/>
  <c r="K111" i="30" s="1"/>
  <c r="N109" i="30"/>
  <c r="K109" i="30" s="1"/>
  <c r="N118" i="30"/>
  <c r="K118" i="30" s="1"/>
  <c r="N115" i="30"/>
  <c r="K115" i="30" s="1"/>
  <c r="N113" i="30"/>
  <c r="K113" i="30" s="1"/>
  <c r="N110" i="30"/>
  <c r="K110" i="30" s="1"/>
  <c r="N119" i="30"/>
  <c r="K119" i="30" s="1"/>
  <c r="N108" i="30"/>
  <c r="K108" i="30" s="1"/>
  <c r="Q108" i="30"/>
  <c r="R108" i="30"/>
  <c r="P108" i="30"/>
  <c r="O108" i="30"/>
  <c r="N97" i="30"/>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O75" i="30" l="1"/>
  <c r="L27" i="27"/>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B5" i="30" l="1"/>
  <c r="B25" i="30"/>
  <c r="B8" i="30" l="1"/>
  <c r="B18" i="30" s="1"/>
</calcChain>
</file>

<file path=xl/sharedStrings.xml><?xml version="1.0" encoding="utf-8"?>
<sst xmlns="http://schemas.openxmlformats.org/spreadsheetml/2006/main" count="2875" uniqueCount="1650">
  <si>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</si>
  <si>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</si>
  <si>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</si>
  <si>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</si>
  <si>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</si>
  <si>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</si>
  <si>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</si>
  <si>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</si>
  <si>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</si>
  <si>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</si>
  <si>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</si>
  <si>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</si>
  <si>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</si>
  <si>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</si>
  <si>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</si>
  <si>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</si>
  <si>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</si>
  <si>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</si>
  <si>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</si>
  <si>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</si>
  <si>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</si>
  <si>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</si>
  <si>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</si>
  <si>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</si>
  <si>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</si>
  <si>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</si>
  <si>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</si>
  <si>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</si>
  <si>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</si>
  <si>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</si>
  <si>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</si>
  <si>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</si>
  <si>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</si>
  <si>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</si>
  <si>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</si>
  <si>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</si>
  <si>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</si>
  <si>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</si>
  <si>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</si>
  <si>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</si>
  <si>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</si>
  <si>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</si>
  <si>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</si>
  <si>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</si>
  <si>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</si>
  <si>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</si>
  <si>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</si>
  <si>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</si>
  <si>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</si>
  <si>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</si>
  <si>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</si>
  <si>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</si>
  <si>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</si>
  <si>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</si>
  <si>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</si>
  <si>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</si>
  <si>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</si>
  <si>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</si>
  <si>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</si>
  <si>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</si>
  <si>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</si>
  <si>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</si>
  <si>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</si>
  <si>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</si>
  <si>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</si>
  <si>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</si>
  <si>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</si>
  <si>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</si>
  <si>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</si>
  <si>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</si>
  <si>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</si>
  <si>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</si>
  <si>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</si>
  <si>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</si>
  <si>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</si>
  <si>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</si>
  <si>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</si>
  <si>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</si>
  <si>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</si>
  <si>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</si>
  <si>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</si>
  <si>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</si>
  <si>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</si>
  <si>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</si>
  <si>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</si>
  <si>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</si>
  <si>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</si>
  <si>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</si>
  <si>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</si>
  <si>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</si>
  <si>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</si>
  <si>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</si>
  <si>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</si>
  <si>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</si>
  <si>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</si>
  <si>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</si>
  <si>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</si>
  <si>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</si>
  <si>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</si>
  <si>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</si>
  <si>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</si>
  <si>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</si>
  <si>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</si>
  <si>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</si>
  <si>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</si>
  <si>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</si>
  <si>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</si>
  <si>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</si>
  <si>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</si>
  <si>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</si>
  <si>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</si>
  <si>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</si>
  <si>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</si>
  <si>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</si>
  <si>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</si>
  <si>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</si>
  <si>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</si>
  <si>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</si>
  <si>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</si>
  <si>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</si>
  <si>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</si>
  <si>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</si>
  <si>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</si>
  <si>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</si>
  <si>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</si>
  <si>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</si>
  <si>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</si>
  <si>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</si>
  <si>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</si>
  <si>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</si>
  <si>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</si>
  <si>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</si>
  <si>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</si>
  <si>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</si>
  <si>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</si>
  <si>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</si>
  <si>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</si>
  <si>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</si>
  <si>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</si>
  <si>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</si>
  <si>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</si>
  <si>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</si>
  <si>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</si>
  <si>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</si>
  <si>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</si>
  <si>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</si>
  <si>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</si>
  <si>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</si>
  <si>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</si>
  <si>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</si>
  <si>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</si>
  <si>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</si>
  <si>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</si>
  <si>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</si>
  <si>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</si>
  <si>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</si>
  <si>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</si>
  <si>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</si>
  <si>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</si>
  <si>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</si>
  <si>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</si>
  <si>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</si>
  <si>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</si>
  <si>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</si>
  <si>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</si>
  <si>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</si>
  <si>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</si>
  <si>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</si>
  <si>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</si>
  <si>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</si>
  <si>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</si>
  <si>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</si>
  <si>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</si>
  <si>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</si>
  <si>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</si>
  <si>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</si>
  <si>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</si>
  <si>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</si>
  <si>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</si>
  <si>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</si>
  <si>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</si>
  <si>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</si>
  <si>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</si>
  <si>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</si>
  <si>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</si>
  <si>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</si>
  <si>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</si>
  <si>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</si>
  <si>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</si>
  <si>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</si>
  <si>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</si>
  <si>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</si>
  <si>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</si>
  <si>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</si>
  <si>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</si>
  <si>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</si>
  <si>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</si>
  <si>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</si>
  <si>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</si>
  <si>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</si>
  <si>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</si>
  <si>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</si>
  <si>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</si>
  <si>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</si>
  <si>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</si>
  <si>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</si>
  <si>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</si>
  <si>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</si>
  <si>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</si>
  <si>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</si>
  <si>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</si>
  <si>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</si>
  <si>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</si>
  <si>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</si>
  <si>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</si>
  <si>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</si>
  <si>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</si>
  <si>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</si>
  <si>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</si>
  <si>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</si>
  <si>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</si>
  <si>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</si>
  <si>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</si>
  <si>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</si>
  <si>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</si>
  <si>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</si>
  <si>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</si>
  <si>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</si>
  <si>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</si>
  <si>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</si>
  <si>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</si>
  <si>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</si>
  <si>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</si>
  <si>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004782</t>
  </si>
  <si>
    <t>PRAYON ENGIS</t>
  </si>
  <si>
    <t>86649</t>
  </si>
  <si>
    <t>86649-N01</t>
  </si>
  <si>
    <t>007296</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</si>
  <si>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</si>
  <si>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</si>
  <si>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</si>
  <si>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</si>
  <si>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</si>
  <si>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</si>
  <si>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</si>
  <si>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</si>
  <si>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</si>
  <si>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</si>
  <si>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</si>
  <si>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</si>
  <si>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</si>
  <si>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</si>
  <si>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</si>
  <si>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</si>
  <si>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</si>
  <si>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</si>
  <si>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</si>
  <si>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</si>
  <si>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</si>
  <si>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</si>
  <si>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</si>
  <si>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</si>
  <si>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</si>
  <si>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</si>
  <si>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</si>
  <si>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</si>
  <si>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</si>
  <si>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</si>
  <si>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</si>
  <si>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</si>
  <si>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</si>
  <si>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</si>
  <si>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</si>
  <si>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</si>
  <si>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</si>
  <si>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</si>
  <si>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</si>
  <si>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</si>
  <si>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</si>
  <si>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</si>
  <si>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</si>
  <si>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</si>
  <si>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</si>
  <si>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</si>
  <si>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</si>
  <si>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</si>
  <si>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</si>
  <si>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</si>
  <si>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</si>
  <si>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</si>
  <si>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</si>
  <si>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</si>
  <si>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</si>
  <si>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</si>
  <si>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</si>
  <si>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</si>
  <si>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</si>
  <si>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</si>
  <si>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</si>
  <si>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</si>
  <si>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</si>
  <si>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</si>
  <si>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</si>
  <si>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</si>
  <si>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</si>
  <si>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</si>
  <si>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</si>
  <si>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</si>
  <si>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</si>
  <si>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</si>
  <si>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</si>
  <si>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</si>
  <si>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</si>
  <si>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</si>
  <si>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</si>
  <si>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</si>
  <si>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</si>
  <si>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</si>
  <si>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</si>
  <si>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</si>
  <si>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</si>
  <si>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</si>
  <si>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</si>
  <si>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</si>
  <si>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</si>
  <si>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</si>
  <si>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</si>
  <si>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</si>
  <si>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</si>
  <si>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</si>
  <si>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</si>
  <si>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</si>
  <si>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</si>
  <si>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</si>
  <si>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</si>
  <si>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</si>
  <si>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</si>
  <si>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</si>
  <si>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</si>
  <si>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</si>
  <si>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</si>
  <si>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</si>
  <si>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</si>
  <si>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</si>
  <si>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</si>
  <si>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</si>
  <si>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</si>
  <si>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</si>
  <si>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</si>
  <si>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</si>
  <si>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</si>
  <si>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</si>
  <si>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</si>
  <si>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</si>
  <si>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</si>
  <si>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</si>
  <si>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</si>
  <si>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</si>
  <si>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</si>
  <si>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</si>
  <si>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</si>
  <si>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</si>
  <si>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</si>
  <si>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</si>
  <si>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</si>
  <si>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</si>
  <si>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</si>
  <si>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</si>
  <si>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</si>
  <si>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</si>
  <si>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</si>
  <si>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</si>
  <si>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</si>
  <si>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</si>
  <si>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</si>
  <si>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</si>
  <si>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</si>
  <si>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</si>
  <si>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</si>
  <si>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</si>
  <si>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</si>
  <si>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</si>
  <si>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</si>
  <si>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</si>
  <si>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</si>
  <si>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</si>
  <si>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</si>
  <si>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</si>
  <si>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</si>
  <si>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</si>
  <si>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</si>
  <si>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</si>
  <si>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</si>
  <si>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</si>
  <si>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</si>
  <si>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</si>
  <si>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</si>
  <si>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</si>
  <si>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</si>
  <si>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</si>
  <si>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</si>
  <si>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</si>
  <si>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</si>
  <si>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</si>
  <si>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</si>
  <si>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</si>
  <si>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</si>
  <si>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</si>
  <si>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</si>
  <si>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</si>
  <si>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</si>
  <si>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</si>
  <si>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</si>
  <si>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</si>
  <si>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</si>
  <si>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</si>
  <si>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</si>
  <si>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</si>
  <si>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</si>
  <si>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</si>
  <si>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</si>
  <si>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</si>
  <si>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</si>
  <si>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</si>
  <si>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</si>
  <si>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</si>
  <si>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</si>
  <si>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</si>
  <si>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</si>
  <si>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</si>
  <si>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</si>
  <si>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</si>
  <si>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</si>
  <si>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</si>
  <si>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</si>
  <si>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</si>
  <si>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</si>
  <si>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</si>
  <si>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</si>
  <si>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</si>
  <si>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</si>
  <si>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</si>
  <si>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</si>
  <si>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</si>
  <si>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</si>
  <si>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867650</t>
  </si>
  <si>
    <t>LUYTEN SA MARCHE-LES-DAMES</t>
  </si>
  <si>
    <t>86765</t>
  </si>
  <si>
    <t>86765-N01</t>
  </si>
  <si>
    <t>443030</t>
  </si>
  <si>
    <t>LUTOSA LEUZE</t>
  </si>
  <si>
    <t>44303</t>
  </si>
  <si>
    <t>44303-N01</t>
  </si>
  <si>
    <t>004786</t>
  </si>
  <si>
    <t>LHOIST JEMELLE</t>
  </si>
  <si>
    <t>87061</t>
  </si>
  <si>
    <t>87061-N01</t>
  </si>
  <si>
    <t>428890</t>
  </si>
  <si>
    <t>LAWTER BVBA KALLO</t>
  </si>
  <si>
    <t>42889</t>
  </si>
  <si>
    <t>42889-N01</t>
  </si>
  <si>
    <t>21759</t>
  </si>
  <si>
    <t>21759-N01</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</si>
  <si>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</si>
  <si>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</si>
  <si>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</si>
  <si>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</si>
  <si>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</si>
  <si>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</si>
  <si>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</si>
  <si>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</si>
  <si>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</si>
  <si>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</si>
  <si>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</si>
  <si>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</si>
  <si>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</si>
  <si>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</si>
  <si>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</si>
  <si>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</si>
  <si>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</si>
  <si>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</si>
  <si>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</si>
  <si>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</si>
  <si>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</si>
  <si>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</si>
  <si>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</si>
  <si>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</si>
  <si>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</si>
  <si>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</si>
  <si>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</si>
  <si>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</si>
  <si>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</si>
  <si>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</si>
  <si>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</si>
  <si>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</si>
  <si>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</si>
  <si>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</si>
  <si>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</si>
  <si>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</si>
  <si>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</si>
  <si>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</si>
  <si>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</si>
  <si>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</si>
  <si>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</si>
  <si>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</si>
  <si>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</si>
  <si>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</si>
  <si>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</si>
  <si>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</si>
  <si>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</si>
  <si>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</si>
  <si>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</si>
  <si>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</si>
  <si>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</si>
  <si>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</si>
  <si>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</si>
  <si>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</si>
  <si>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</si>
  <si>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</si>
  <si>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</si>
  <si>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</si>
  <si>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</si>
  <si>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</si>
  <si>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</si>
  <si>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</si>
  <si>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</si>
  <si>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</si>
  <si>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</si>
  <si>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</si>
  <si>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</si>
  <si>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</si>
  <si>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</si>
  <si>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</si>
  <si>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</si>
  <si>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</si>
  <si>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</si>
  <si>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</si>
  <si>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</si>
  <si>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</si>
  <si>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</si>
  <si>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</si>
  <si>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</si>
  <si>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</si>
  <si>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</si>
  <si>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</si>
  <si>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</si>
  <si>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</si>
  <si>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</si>
  <si>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</si>
  <si>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</si>
  <si>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</si>
  <si>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</si>
  <si>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</si>
  <si>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</si>
  <si>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</si>
  <si>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</si>
  <si>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</si>
  <si>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</si>
  <si>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</si>
  <si>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</si>
  <si>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</si>
  <si>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</si>
  <si>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</si>
  <si>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</si>
  <si>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</si>
  <si>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</si>
  <si>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</si>
  <si>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</si>
  <si>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</si>
  <si>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</si>
  <si>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</si>
  <si>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</si>
  <si>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</si>
  <si>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</si>
  <si>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</si>
  <si>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</si>
  <si>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</si>
  <si>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</si>
  <si>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</si>
  <si>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</si>
  <si>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</si>
  <si>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</si>
  <si>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</si>
  <si>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</si>
  <si>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</si>
  <si>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</si>
  <si>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</si>
  <si>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</si>
  <si>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</si>
  <si>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</si>
  <si>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</si>
  <si>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</si>
  <si>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</si>
  <si>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</si>
  <si>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</si>
  <si>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</si>
  <si>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</si>
  <si>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</si>
  <si>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</si>
  <si>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</si>
  <si>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</si>
  <si>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</si>
  <si>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</si>
  <si>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</si>
  <si>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</si>
  <si>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</si>
  <si>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</si>
  <si>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</si>
  <si>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</si>
  <si>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</si>
  <si>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</si>
  <si>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</si>
  <si>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</si>
  <si>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</si>
  <si>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</si>
  <si>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</si>
  <si>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</si>
  <si>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</si>
  <si>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</si>
  <si>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</si>
  <si>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</si>
  <si>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</si>
  <si>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</si>
  <si>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</si>
  <si>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</si>
  <si>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</si>
  <si>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</si>
  <si>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</si>
  <si>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</si>
  <si>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</si>
  <si>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</si>
  <si>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</si>
  <si>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</si>
  <si>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</si>
  <si>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</si>
  <si>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</si>
  <si>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</si>
  <si>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</si>
  <si>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</si>
  <si>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</si>
  <si>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</si>
  <si>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</si>
  <si>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</si>
  <si>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</si>
  <si>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</si>
  <si>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</si>
  <si>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</si>
  <si>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</si>
  <si>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</si>
  <si>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</si>
  <si>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</si>
  <si>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</si>
  <si>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</si>
  <si>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</si>
  <si>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</si>
  <si>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</si>
  <si>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</si>
  <si>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</si>
  <si>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</si>
  <si>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</si>
  <si>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</si>
  <si>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</si>
  <si>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</si>
  <si>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</si>
  <si>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</si>
  <si>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</si>
  <si>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</si>
  <si>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</si>
  <si>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</si>
  <si>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</si>
  <si>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</si>
  <si>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</si>
  <si>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</si>
  <si>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</si>
  <si>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</si>
  <si>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</si>
  <si>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</si>
  <si>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</si>
  <si>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</si>
  <si>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</si>
  <si>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</si>
  <si>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</si>
  <si>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</si>
  <si>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</si>
  <si>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</si>
  <si>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</si>
  <si>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</si>
  <si>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</si>
  <si>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</si>
  <si>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</si>
  <si>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</si>
  <si>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</si>
  <si>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</si>
  <si>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</si>
  <si>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</si>
  <si>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31409</t>
  </si>
  <si>
    <t>31409-N01</t>
  </si>
  <si>
    <t>005929</t>
  </si>
  <si>
    <t>CARGILL NV GENT</t>
  </si>
  <si>
    <t>42219</t>
  </si>
  <si>
    <t>42219-N01</t>
  </si>
  <si>
    <t>CARGILL GENT</t>
  </si>
  <si>
    <t>007311</t>
  </si>
  <si>
    <t>BVBA HERDI ZWIJNDRECHT</t>
  </si>
  <si>
    <t>21435</t>
  </si>
  <si>
    <t>21435-N01</t>
  </si>
  <si>
    <t>007170</t>
  </si>
  <si>
    <t>BURGO VIRTON</t>
  </si>
  <si>
    <t>87471</t>
  </si>
  <si>
    <t>87471-N01</t>
  </si>
  <si>
    <t>004727</t>
  </si>
  <si>
    <t>BRUSSELS AIRPORT COMPANY N.V. ZAVENTEM</t>
  </si>
  <si>
    <t>32121</t>
  </si>
  <si>
    <t>32121-N01</t>
  </si>
  <si>
    <t>004710</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</si>
  <si>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</si>
  <si>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</si>
  <si>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</si>
  <si>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</si>
  <si>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</si>
  <si>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</si>
  <si>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</si>
  <si>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</si>
  <si>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</si>
  <si>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</si>
  <si>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</si>
  <si>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</si>
  <si>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</si>
  <si>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</si>
  <si>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</si>
  <si>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</si>
  <si>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</si>
  <si>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</si>
  <si>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</si>
  <si>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</si>
  <si>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</si>
  <si>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</si>
  <si>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</si>
  <si>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</si>
  <si>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</si>
  <si>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</si>
  <si>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</si>
  <si>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</si>
  <si>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</si>
  <si>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</si>
  <si>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</si>
  <si>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</si>
  <si>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</si>
  <si>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</si>
  <si>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</si>
  <si>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</si>
  <si>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</si>
  <si>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</si>
  <si>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</si>
  <si>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</si>
  <si>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</si>
  <si>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</si>
  <si>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</si>
  <si>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</si>
  <si>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</si>
  <si>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</si>
  <si>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</si>
  <si>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</si>
  <si>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</si>
  <si>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</si>
  <si>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</si>
  <si>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</si>
  <si>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</si>
  <si>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</si>
  <si>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</si>
  <si>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</si>
  <si>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</si>
  <si>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</si>
  <si>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</si>
  <si>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</si>
  <si>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85081</t>
  </si>
  <si>
    <t>85081-N01</t>
  </si>
  <si>
    <t>004879</t>
  </si>
  <si>
    <t>ARCELORMITTAL LIEGE RC KESSALES FLEMALLE</t>
  </si>
  <si>
    <t>84071</t>
  </si>
  <si>
    <t>84071-N01</t>
  </si>
  <si>
    <t>004883</t>
  </si>
  <si>
    <t>ARCELORMITTAL LIEGE IVOZ RAMET PEINT-EUR</t>
  </si>
  <si>
    <t>86207</t>
  </si>
  <si>
    <t>86207-N01</t>
  </si>
  <si>
    <t>ARCELORMITTAL LIEGE IVOZ RAMET PEINT-EUROGAL</t>
  </si>
  <si>
    <t>004882</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</si>
  <si>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</si>
  <si>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</si>
  <si>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</si>
  <si>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</si>
  <si>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</si>
  <si>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</si>
  <si>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</si>
  <si>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</si>
  <si>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</si>
  <si>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</si>
  <si>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</si>
  <si>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</si>
  <si>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</si>
  <si>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</si>
  <si>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</si>
  <si>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</si>
  <si>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</si>
  <si>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</si>
  <si>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</si>
  <si>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</si>
  <si>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</si>
  <si>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</si>
  <si>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</si>
  <si>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</si>
  <si>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</si>
  <si>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</si>
  <si>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</si>
  <si>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</si>
  <si>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</si>
  <si>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</si>
  <si>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</si>
  <si>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</si>
  <si>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</si>
  <si>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</si>
  <si>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</si>
  <si>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</si>
  <si>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</si>
  <si>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</si>
  <si>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</si>
  <si>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</si>
  <si>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</si>
  <si>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</si>
  <si>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</si>
  <si>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</si>
  <si>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</si>
  <si>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</si>
  <si>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</si>
  <si>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</si>
  <si>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</si>
  <si>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</si>
  <si>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</si>
  <si>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</si>
  <si>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</si>
  <si>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</si>
  <si>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</si>
  <si>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</si>
  <si>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</si>
  <si>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</si>
  <si>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</si>
  <si>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</si>
  <si>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</si>
  <si>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</si>
  <si>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</si>
  <si>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</si>
  <si>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</si>
  <si>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</si>
  <si>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</si>
  <si>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</si>
  <si>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</si>
  <si>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</si>
  <si>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</si>
  <si>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</si>
  <si>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</si>
  <si>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</si>
  <si>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</si>
  <si>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</si>
  <si>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</si>
  <si>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</si>
  <si>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</si>
  <si>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</si>
  <si>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</si>
  <si>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</si>
  <si>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</si>
  <si>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</si>
  <si>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</si>
  <si>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</si>
  <si>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</si>
  <si>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</si>
  <si>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</si>
  <si>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</si>
  <si>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</si>
  <si>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</si>
  <si>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</si>
  <si>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</si>
  <si>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</si>
  <si>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</si>
  <si>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</si>
  <si>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</si>
  <si>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</si>
  <si>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</si>
  <si>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</si>
  <si>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</si>
  <si>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</si>
  <si>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</si>
  <si>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</si>
  <si>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</si>
  <si>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</si>
  <si>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</si>
  <si>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</si>
  <si>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</si>
  <si>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</si>
  <si>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</si>
  <si>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</si>
  <si>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</si>
  <si>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</si>
  <si>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</si>
  <si>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</si>
  <si>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</si>
  <si>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</si>
  <si>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</si>
  <si>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</si>
  <si>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</si>
  <si>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</si>
  <si>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</si>
  <si>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</si>
  <si>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</si>
  <si>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</si>
  <si>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</si>
  <si>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</si>
  <si>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</si>
  <si>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</si>
  <si>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</si>
  <si>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</si>
  <si>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</si>
  <si>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</si>
  <si>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</si>
  <si>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</si>
  <si>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</si>
  <si>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</si>
  <si>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</si>
  <si>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</si>
  <si>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</si>
  <si>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</si>
  <si>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</si>
  <si>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</si>
  <si>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</si>
  <si>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</si>
  <si>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</si>
  <si>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</si>
  <si>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</si>
  <si>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</si>
  <si>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</si>
  <si>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</si>
  <si>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</si>
  <si>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</si>
  <si>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</si>
  <si>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</si>
  <si>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</si>
  <si>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</si>
  <si>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</si>
  <si>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</si>
  <si>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</si>
  <si>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</si>
  <si>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</si>
  <si>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</si>
  <si>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</si>
  <si>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</si>
  <si>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</si>
  <si>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</si>
  <si>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</si>
  <si>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</si>
  <si>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</si>
  <si>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</si>
  <si>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</si>
  <si>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</si>
  <si>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</si>
  <si>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</si>
  <si>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</si>
  <si>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</si>
  <si>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</si>
  <si>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</si>
  <si>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</si>
  <si>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</si>
  <si>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</si>
  <si>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</si>
  <si>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</si>
  <si>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</si>
  <si>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</si>
  <si>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</si>
  <si>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</si>
  <si>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t>How was this price obtained?</t>
  </si>
  <si>
    <t xml:space="preserve">REQUIRED INPUT </t>
  </si>
  <si>
    <t>High-calorific gas</t>
  </si>
  <si>
    <t>Low-calorific gas</t>
  </si>
  <si>
    <t>42435-N02</t>
  </si>
  <si>
    <t>BELASCO GENT</t>
  </si>
  <si>
    <t>42475-N01</t>
  </si>
  <si>
    <t>42475</t>
  </si>
  <si>
    <t>007300</t>
  </si>
  <si>
    <t>11031-N01</t>
  </si>
  <si>
    <t>11031</t>
  </si>
  <si>
    <t>INEOS NV + INEOS OXIDE UTILITIES NV ZWIJ</t>
  </si>
  <si>
    <t>LANXESS LILLO + PP/CHP COVESTRO ANTWERP</t>
  </si>
  <si>
    <t>42499-N02</t>
  </si>
  <si>
    <t>PP/CHP COVESTRO ANTWERPEN</t>
  </si>
  <si>
    <t>PP/CHP EBL EVONIK DEGUSSA 2 ANTWERPEN</t>
  </si>
  <si>
    <t>PP/CHP EBL EVONIK DEGUSSA ANTWERPEN</t>
  </si>
  <si>
    <t>PP/CHP INEOS OXIDE UTILITIES NV ZWIJNDRECHT</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</si>
  <si>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</si>
  <si>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</si>
  <si>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</si>
  <si>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</si>
  <si>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</si>
  <si>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</si>
  <si>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</si>
  <si>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</si>
  <si>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</si>
  <si>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</si>
  <si>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</si>
  <si>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</si>
  <si>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</si>
  <si>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</si>
  <si>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</si>
  <si>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</si>
  <si>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</si>
  <si>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</si>
  <si>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</si>
  <si>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</si>
  <si>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</si>
  <si>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</si>
  <si>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</si>
  <si>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</si>
  <si>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t>easy method</t>
  </si>
  <si>
    <t>tariff sheet</t>
  </si>
  <si>
    <t>delta [%]</t>
  </si>
  <si>
    <t>Pressure Service</t>
  </si>
  <si>
    <t>PS</t>
  </si>
  <si>
    <t>Route de Maestricht</t>
  </si>
  <si>
    <t>z/n</t>
  </si>
  <si>
    <t>BATTICE</t>
  </si>
  <si>
    <t>22ZFL004776----M</t>
  </si>
  <si>
    <t>Haven 1005 - Canadastraat</t>
  </si>
  <si>
    <t>ZWIJNDRECHT</t>
  </si>
  <si>
    <t>22ZFL004714----2</t>
  </si>
  <si>
    <t>Haven 1931 - Geslecht</t>
  </si>
  <si>
    <t>BEVEREN</t>
  </si>
  <si>
    <t>57ZFL007324----P</t>
  </si>
  <si>
    <t xml:space="preserve">Haven 1111 – Steenlandlaan </t>
  </si>
  <si>
    <t>22ZFL007157----E</t>
  </si>
  <si>
    <t>Avenue du Marquis (Zoning Industriel)</t>
  </si>
  <si>
    <t>FLEURUS</t>
  </si>
  <si>
    <t>22ZFL004753----H</t>
  </si>
  <si>
    <t>Rue Pige au Croly</t>
  </si>
  <si>
    <t>CHARLEROI</t>
  </si>
  <si>
    <t>22ZFL542510----2</t>
  </si>
  <si>
    <t>Venetiëlaan</t>
  </si>
  <si>
    <t>MOL</t>
  </si>
  <si>
    <t>22ZFL114310----0</t>
  </si>
  <si>
    <t>01/09/2015 - Done</t>
  </si>
  <si>
    <t>Rue de la Glacerie</t>
  </si>
  <si>
    <t>JEMEPPE-SUR-SAMBRE</t>
  </si>
  <si>
    <t>22ZFL007188----O</t>
  </si>
  <si>
    <t>Scheldelaan - Haven 725</t>
  </si>
  <si>
    <t>ANTWERPEN</t>
  </si>
  <si>
    <t>22ZFL007133----F</t>
  </si>
  <si>
    <t>rue de la réunion</t>
  </si>
  <si>
    <t>100B</t>
  </si>
  <si>
    <t>MARCHIENNE-AU-PONT</t>
  </si>
  <si>
    <t>22ZFL005913----K</t>
  </si>
  <si>
    <t>Scheldelaan  Blok E650</t>
  </si>
  <si>
    <t xml:space="preserve">AIR LIQUIDE LARGE INDUSTRY ANTWERPEN 2 </t>
  </si>
  <si>
    <t>21793-N01</t>
  </si>
  <si>
    <t>007377</t>
  </si>
  <si>
    <t>22ZFL007377----F</t>
  </si>
  <si>
    <t>Pleitstraat</t>
  </si>
  <si>
    <t>22ZFL005927----Q</t>
  </si>
  <si>
    <t>Langerbruggekaai</t>
  </si>
  <si>
    <t>22ZFL005956----B</t>
  </si>
  <si>
    <t>Nederzwijnaarde</t>
  </si>
  <si>
    <t>ZWIJNAARDE</t>
  </si>
  <si>
    <t>22ZFL004737----7</t>
  </si>
  <si>
    <t>Ottergemsesteenweg Zuid</t>
  </si>
  <si>
    <t>22ZFL004736----D</t>
  </si>
  <si>
    <t>Rue d'Ampacet</t>
  </si>
  <si>
    <t>MESSANCY</t>
  </si>
  <si>
    <t>22ZFL875430----H</t>
  </si>
  <si>
    <t>rue des Ateliers</t>
  </si>
  <si>
    <t>CHÂTELET</t>
  </si>
  <si>
    <t>22ZFL004871----7</t>
  </si>
  <si>
    <t>Swinnenwijerstraat (Genk-Zuid Zone 6A)</t>
  </si>
  <si>
    <t>GENK</t>
  </si>
  <si>
    <t>22ZFL004703----F</t>
  </si>
  <si>
    <t>Kanaaloever</t>
  </si>
  <si>
    <t>22ZFL150690----R</t>
  </si>
  <si>
    <t>Pres. J.F. Kennedylaan</t>
  </si>
  <si>
    <t>22ZFL004738----1</t>
  </si>
  <si>
    <t>Rue de la Boverie</t>
  </si>
  <si>
    <t>SERAING</t>
  </si>
  <si>
    <t>22ZFL004883----P</t>
  </si>
  <si>
    <t>Quai du halage</t>
  </si>
  <si>
    <t>/</t>
  </si>
  <si>
    <t>FLEMALLE</t>
  </si>
  <si>
    <t>22ZFL004879----X</t>
  </si>
  <si>
    <t>Haven 1009 - Canadastraat</t>
  </si>
  <si>
    <t>22ZFL004715----X</t>
  </si>
  <si>
    <t>Haven 1920 - Geslecht</t>
  </si>
  <si>
    <t>DOEL</t>
  </si>
  <si>
    <t>22ZFL004717----L</t>
  </si>
  <si>
    <t>Haven 279  Beliweg</t>
  </si>
  <si>
    <t>ANTWERPEN 3</t>
  </si>
  <si>
    <t>22ZFL212210----F</t>
  </si>
  <si>
    <t>01/06/2018 - Done</t>
  </si>
  <si>
    <t>Haven 725 - Scheldelaan</t>
  </si>
  <si>
    <t>600</t>
  </si>
  <si>
    <t>ANTWERPEN 4</t>
  </si>
  <si>
    <t>57ZFL007297----3</t>
  </si>
  <si>
    <t>22ZFL004713----8</t>
  </si>
  <si>
    <t>Boulevard René Branquart</t>
  </si>
  <si>
    <t>LESSINES</t>
  </si>
  <si>
    <t>22ZFL006024----X</t>
  </si>
  <si>
    <t>BAYER AGRICULTURE ANTWERPEN</t>
  </si>
  <si>
    <t>Scheldelaan</t>
  </si>
  <si>
    <t>22ZFL004719----9</t>
  </si>
  <si>
    <t>Haven 7120C - Christoffel Columbuslaan</t>
  </si>
  <si>
    <t>57ZFL007300----Q</t>
  </si>
  <si>
    <t>Chaussée de Charleroi</t>
  </si>
  <si>
    <t>GEMBLOUX</t>
  </si>
  <si>
    <t>22ZFL513210----A</t>
  </si>
  <si>
    <t>01/06/2019 - Done</t>
  </si>
  <si>
    <t xml:space="preserve">Melkerijstraat </t>
  </si>
  <si>
    <t>LANGEMARK</t>
  </si>
  <si>
    <t>57ZFL007175----0</t>
  </si>
  <si>
    <t>Fabriekstraat</t>
  </si>
  <si>
    <t>KALLO</t>
  </si>
  <si>
    <t>22ZFL005892----F</t>
  </si>
  <si>
    <t>rue de la Riviérette</t>
  </si>
  <si>
    <t>SAINT-GHISLAIN</t>
  </si>
  <si>
    <t>22ZFL445210----A</t>
  </si>
  <si>
    <t>Rue Léon Charlier</t>
  </si>
  <si>
    <t>WANZE</t>
  </si>
  <si>
    <t>22ZFL005928----K</t>
  </si>
  <si>
    <t>Pastorijstraat</t>
  </si>
  <si>
    <t>TIENEN</t>
  </si>
  <si>
    <t>22ZFL006025----R</t>
  </si>
  <si>
    <t>BOORTMALT HERENT</t>
  </si>
  <si>
    <t>Zijpstraat</t>
  </si>
  <si>
    <t>HERENT</t>
  </si>
  <si>
    <t>22ZFL004726----K</t>
  </si>
  <si>
    <t>Haven 1568 - Sint-Jansweg</t>
  </si>
  <si>
    <t>22ZFL004744----I</t>
  </si>
  <si>
    <t>Industrieweg</t>
  </si>
  <si>
    <t>PAAL-BERINGEN</t>
  </si>
  <si>
    <t>22ZFL004698----4</t>
  </si>
  <si>
    <t>Luchthaven Brussel-Nationaal gebouw 16</t>
  </si>
  <si>
    <t>ZAVENTEM</t>
  </si>
  <si>
    <t>22ZFL004727----E</t>
  </si>
  <si>
    <t xml:space="preserve">Rue de la Papeterie </t>
  </si>
  <si>
    <t>VIRTON</t>
  </si>
  <si>
    <t>57ZFL007170----U</t>
  </si>
  <si>
    <t>Blauwe Hoevestraat</t>
  </si>
  <si>
    <t>57ZFL007311----D</t>
  </si>
  <si>
    <t>Moervaartkaai</t>
  </si>
  <si>
    <t>22ZFL005929----E</t>
  </si>
  <si>
    <t>Haven 506 - Muisbroeklaan</t>
  </si>
  <si>
    <t>22ZFL211310----G</t>
  </si>
  <si>
    <t>rue de Boudjesse</t>
  </si>
  <si>
    <t>FOSSES-LA-VILLE</t>
  </si>
  <si>
    <t>22ZFL004755----5</t>
  </si>
  <si>
    <t>Rue de Ramet</t>
  </si>
  <si>
    <t>ENGIS</t>
  </si>
  <si>
    <t>22ZFL868110----1</t>
  </si>
  <si>
    <t>rue des Forges</t>
  </si>
  <si>
    <t>SEILLES</t>
  </si>
  <si>
    <t>22ZFL004784----R</t>
  </si>
  <si>
    <t>rue du Val Notre-Dame</t>
  </si>
  <si>
    <t>MOHA</t>
  </si>
  <si>
    <t>22ZFL004783----X</t>
  </si>
  <si>
    <t>Arbedkaai</t>
  </si>
  <si>
    <t>SINT-KRUIS-WINKEL</t>
  </si>
  <si>
    <t>22ZFL424330----H</t>
  </si>
  <si>
    <t>rue des Trois Fermes</t>
  </si>
  <si>
    <t>VISE</t>
  </si>
  <si>
    <t>22ZFL004775----S</t>
  </si>
  <si>
    <t>LANAKEN</t>
  </si>
  <si>
    <t>22ZFL004706----Y</t>
  </si>
  <si>
    <t>Zoning Industriel - Zone C</t>
  </si>
  <si>
    <t>FELUY</t>
  </si>
  <si>
    <t>22ZFL004760----S</t>
  </si>
  <si>
    <t>BERINGEN</t>
  </si>
  <si>
    <t>22ZFL115170----2</t>
  </si>
  <si>
    <t>Fabrieksstraat</t>
  </si>
  <si>
    <t>TESSENDERLO</t>
  </si>
  <si>
    <t>22ZFL004699----Z</t>
  </si>
  <si>
    <t>Ringvaartweg</t>
  </si>
  <si>
    <t>WONDELGEM</t>
  </si>
  <si>
    <t>22ZFL424850----0</t>
  </si>
  <si>
    <t>Henry Fordlaan</t>
  </si>
  <si>
    <t>22ZFL005612----D</t>
  </si>
  <si>
    <t>22ZFL004725----Q</t>
  </si>
  <si>
    <t>Wilmansdonksteenweg</t>
  </si>
  <si>
    <t>22ZFL005017----V</t>
  </si>
  <si>
    <t>Zwijnaardsesteenweg</t>
  </si>
  <si>
    <t>22ZFL421870----D</t>
  </si>
  <si>
    <t>Ringvaartweg-Wondelgem</t>
  </si>
  <si>
    <t>22ZFL006145----5</t>
  </si>
  <si>
    <t>Van Doornelaan</t>
  </si>
  <si>
    <t>WESTERLO</t>
  </si>
  <si>
    <t>22ZFL180710----8</t>
  </si>
  <si>
    <t>Scheepzatestraat</t>
  </si>
  <si>
    <t>22ZFL005016----0</t>
  </si>
  <si>
    <t>Antwerpselaan</t>
  </si>
  <si>
    <t>GRIMBERGEN</t>
  </si>
  <si>
    <t>22ZFL301350----O</t>
  </si>
  <si>
    <t>rue Surface</t>
  </si>
  <si>
    <t>22ZFL004781----8</t>
  </si>
  <si>
    <t>Posthoflei</t>
  </si>
  <si>
    <t>3 bus 3</t>
  </si>
  <si>
    <t>BERCHEM</t>
  </si>
  <si>
    <t>57ZFL007298----Y</t>
  </si>
  <si>
    <t>Rue Carbo</t>
  </si>
  <si>
    <t>TERTRE</t>
  </si>
  <si>
    <t>22ZFL004749----P</t>
  </si>
  <si>
    <t>Rue de la Papeterie</t>
  </si>
  <si>
    <t>STEMBERT</t>
  </si>
  <si>
    <t>22ZFL004777----G</t>
  </si>
  <si>
    <t>Huttekensstraat</t>
  </si>
  <si>
    <t>KAPELLE-OP-DEN-BOS</t>
  </si>
  <si>
    <t>22ZFL004728----8</t>
  </si>
  <si>
    <t>Rue de chenée</t>
  </si>
  <si>
    <t>ANGLEUR</t>
  </si>
  <si>
    <t>22ZFL836570----C</t>
  </si>
  <si>
    <t>Tijsmanstunnel West</t>
  </si>
  <si>
    <t>22ZFL004718----F</t>
  </si>
  <si>
    <t>Haven 1007 - Canadastraat</t>
  </si>
  <si>
    <t>22ZFL004716----R</t>
  </si>
  <si>
    <t>Biezenhoed</t>
  </si>
  <si>
    <t>MEERHOUT</t>
  </si>
  <si>
    <t>22ZFL004701----R</t>
  </si>
  <si>
    <t>Scheldelaan - haven 447</t>
  </si>
  <si>
    <t xml:space="preserve">ANTWERPEN </t>
  </si>
  <si>
    <t>22ZFL005921----P</t>
  </si>
  <si>
    <t>Rue Voie de Liège</t>
  </si>
  <si>
    <t>HERSTAL</t>
  </si>
  <si>
    <t>22ZFL833210----V</t>
  </si>
  <si>
    <t>Maatheide</t>
  </si>
  <si>
    <t>74 bus A</t>
  </si>
  <si>
    <t>LOMMEL</t>
  </si>
  <si>
    <t>57ZFL007352----G</t>
  </si>
  <si>
    <t>HAVEN 1938 - Molenweg</t>
  </si>
  <si>
    <t>22ZFL428950----U</t>
  </si>
  <si>
    <t>Kuhlmannkaai</t>
  </si>
  <si>
    <t>22ZFL005013----I</t>
  </si>
  <si>
    <t>Rue des Roseaux</t>
  </si>
  <si>
    <t>BAUDOUR</t>
  </si>
  <si>
    <t>22ZFL732830----Q</t>
  </si>
  <si>
    <t>GENENCOR INTERNATIONAL BRUGGE</t>
  </si>
  <si>
    <t>Komvest</t>
  </si>
  <si>
    <t>BRUGGE</t>
  </si>
  <si>
    <t>22ZFL463310----0</t>
  </si>
  <si>
    <t>Rue Mandenne</t>
  </si>
  <si>
    <t>19/20</t>
  </si>
  <si>
    <t>MOMIGNIES</t>
  </si>
  <si>
    <t>22ZFL005251----N</t>
  </si>
  <si>
    <t>HERBOSCH KIERE KALLO</t>
  </si>
  <si>
    <t>42909-N01</t>
  </si>
  <si>
    <t>42909</t>
  </si>
  <si>
    <t xml:space="preserve">Haven 1558 - Sint-Jansweg </t>
  </si>
  <si>
    <t>007348</t>
  </si>
  <si>
    <t>57ZFL007348----O</t>
  </si>
  <si>
    <t>rue des Fabriques</t>
  </si>
  <si>
    <t>OBOURG</t>
  </si>
  <si>
    <t>22ZFL004693----Y</t>
  </si>
  <si>
    <t>Langerbruggestraat</t>
  </si>
  <si>
    <t>22ZFL425210----U</t>
  </si>
  <si>
    <t>rue du Canal</t>
  </si>
  <si>
    <t>LIXHE</t>
  </si>
  <si>
    <t>22ZFL005293----K</t>
  </si>
  <si>
    <t>22ZFL425350----V</t>
  </si>
  <si>
    <t>Brouwerijplein</t>
  </si>
  <si>
    <t>LEUVEN</t>
  </si>
  <si>
    <t>22ZFL-005958---W</t>
  </si>
  <si>
    <t>Rue de Châtelet (BP 1739)</t>
  </si>
  <si>
    <t>22ZFL005914----E</t>
  </si>
  <si>
    <t>Parc Industriel Nord, Zone C</t>
  </si>
  <si>
    <t>22ZFL005915----8</t>
  </si>
  <si>
    <t>Parc Industriel - Zone C</t>
  </si>
  <si>
    <t>SENEFFE</t>
  </si>
  <si>
    <t>INEOS AROMATICS GEEL</t>
  </si>
  <si>
    <t>Amocolaan</t>
  </si>
  <si>
    <t>GEEL</t>
  </si>
  <si>
    <t>22ZFL004710----Q</t>
  </si>
  <si>
    <t>Haven 647 Scheldelaan</t>
  </si>
  <si>
    <t>22ZFL004712----E</t>
  </si>
  <si>
    <t>Haven 1053 - Scheldedijk</t>
  </si>
  <si>
    <t>22ZFL005909----S</t>
  </si>
  <si>
    <t>rue de Solvay</t>
  </si>
  <si>
    <t>22ZFL004754----B</t>
  </si>
  <si>
    <t>Avenue prévers</t>
  </si>
  <si>
    <t>LIEGE JUPILLE</t>
  </si>
  <si>
    <t>22ZFL004778----A</t>
  </si>
  <si>
    <t>HERENTALS</t>
  </si>
  <si>
    <t>Zoning Industriel de Latour</t>
  </si>
  <si>
    <t>22ZFL004788----3</t>
  </si>
  <si>
    <t>JOHN COCKERILL DEFENCE AUBANGE</t>
  </si>
  <si>
    <t>Avenue Champion (Zoning Industriel)</t>
  </si>
  <si>
    <t>AUBANGE</t>
  </si>
  <si>
    <t>22ZFL875530----9</t>
  </si>
  <si>
    <t>Nijverheidsstraat</t>
  </si>
  <si>
    <t>22ZFL004709----G</t>
  </si>
  <si>
    <t>Rue de Maestricht</t>
  </si>
  <si>
    <t>22ZFL004690----F</t>
  </si>
  <si>
    <t>Zone Industrielle</t>
  </si>
  <si>
    <t>22ZFL004780----E</t>
  </si>
  <si>
    <t>22ZFL-004741---L</t>
  </si>
  <si>
    <t>Route des Forges</t>
  </si>
  <si>
    <t>RULLES</t>
  </si>
  <si>
    <t>22ZFL871410----U</t>
  </si>
  <si>
    <t>Haven 507 - Ketenislaan</t>
  </si>
  <si>
    <t>22ZFL004868----9</t>
  </si>
  <si>
    <t>Haven 507 - Scheldelaan</t>
  </si>
  <si>
    <t>22ZFL217590----1</t>
  </si>
  <si>
    <t>Haven 1520 - Ketenislaan</t>
  </si>
  <si>
    <t>1C</t>
  </si>
  <si>
    <t>22ZFL428890----A</t>
  </si>
  <si>
    <t>Usine de ON</t>
  </si>
  <si>
    <t>MARCHE-EN-FAMENNE</t>
  </si>
  <si>
    <t>22ZFL004786----F</t>
  </si>
  <si>
    <t>LIBERTY LIEGE DUDELANGE (GALVA)</t>
  </si>
  <si>
    <t>Quai du Halage</t>
  </si>
  <si>
    <t>22ZFL004882----V</t>
  </si>
  <si>
    <t>86121-N02</t>
  </si>
  <si>
    <t>LIBERTY LIEGE DUDELANGE HOUBAER</t>
  </si>
  <si>
    <t>LIBERTY LIEGE DUDELANGE (HOUBAER)</t>
  </si>
  <si>
    <t>22ZFL005619----8</t>
  </si>
  <si>
    <t>Zone Industrielle du Vieux Pont</t>
  </si>
  <si>
    <t>LEUZE-EN-HAINAUT</t>
  </si>
  <si>
    <t>22ZFL443030----U</t>
  </si>
  <si>
    <t>Rue du Roi Chevalier</t>
  </si>
  <si>
    <t>MARCHE-LES-DAMES</t>
  </si>
  <si>
    <t>22ZFL867650----G</t>
  </si>
  <si>
    <t>Rue Prés de la Tour</t>
  </si>
  <si>
    <t>VAUX-SUR-CHEVREMONT</t>
  </si>
  <si>
    <t>22ZFL836210----4</t>
  </si>
  <si>
    <t>Rue Verte Voie</t>
  </si>
  <si>
    <t>OUGREE</t>
  </si>
  <si>
    <t>22ZFL005301----D</t>
  </si>
  <si>
    <t>Route des Ayettes</t>
  </si>
  <si>
    <t>GHLIN</t>
  </si>
  <si>
    <t>22ZFL004773----3</t>
  </si>
  <si>
    <t>Nieuwe Dreef</t>
  </si>
  <si>
    <t>BEERSE</t>
  </si>
  <si>
    <t>22ZFL004691----9</t>
  </si>
  <si>
    <t>De Beukelaer Pareinlaan</t>
  </si>
  <si>
    <t>22ZFL004689----5</t>
  </si>
  <si>
    <t>Haven 1972 - Ketenislaan</t>
  </si>
  <si>
    <t>KALLO (KIELDRECHT)</t>
  </si>
  <si>
    <t>22ZFL214430----4</t>
  </si>
  <si>
    <t>Kanaaldijk Z/N</t>
  </si>
  <si>
    <t>PUURS</t>
  </si>
  <si>
    <t>22ZFL004731----6</t>
  </si>
  <si>
    <t>Rue des Azalées</t>
  </si>
  <si>
    <t>22ZFL004771----F</t>
  </si>
  <si>
    <t>NIPPON GASES EUROPE LILLO</t>
  </si>
  <si>
    <t>Metropoolstraat</t>
  </si>
  <si>
    <t>LILLO</t>
  </si>
  <si>
    <t>57ZFL007296----9</t>
  </si>
  <si>
    <t>Eikelaarstraat</t>
  </si>
  <si>
    <t>22ZFL005613----7</t>
  </si>
  <si>
    <t>rue de Clabecq</t>
  </si>
  <si>
    <t>ITTRE</t>
  </si>
  <si>
    <t>22ZFL004733----V</t>
  </si>
  <si>
    <t>Rue des rivaux</t>
  </si>
  <si>
    <t>LA LOUVIERE</t>
  </si>
  <si>
    <t>22ZFL005907----3</t>
  </si>
  <si>
    <t>22ZFL005018----P</t>
  </si>
  <si>
    <t>NOURYON CHEMICALS GHLIN</t>
  </si>
  <si>
    <t>Parc Industriel de Ghlin  Zone A</t>
  </si>
  <si>
    <t>22ZFL004774----Y</t>
  </si>
  <si>
    <t>Zinkstraat</t>
  </si>
  <si>
    <t>BALEN</t>
  </si>
  <si>
    <t>22ZFL114150----P</t>
  </si>
  <si>
    <t>Scheldelaan 450 (Haven 623)</t>
  </si>
  <si>
    <t>22ZFL211610----T</t>
  </si>
  <si>
    <t>Assenedestraat</t>
  </si>
  <si>
    <t>EVERGEM</t>
  </si>
  <si>
    <t>22ZFL004740----5</t>
  </si>
  <si>
    <t>Chaussée de Beaumont</t>
  </si>
  <si>
    <t>401 A</t>
  </si>
  <si>
    <t>HARMIGNIES</t>
  </si>
  <si>
    <t>22ZFL18230-----Z</t>
  </si>
  <si>
    <t>Rue Louis Maréchal</t>
  </si>
  <si>
    <t>OREYE</t>
  </si>
  <si>
    <t>22ZFL005852----6</t>
  </si>
  <si>
    <t>Stationsstraat</t>
  </si>
  <si>
    <t>OOSTENDE</t>
  </si>
  <si>
    <t>22ZFL005019----J</t>
  </si>
  <si>
    <t>Havenlaan</t>
  </si>
  <si>
    <t>22ZFL123410----S</t>
  </si>
  <si>
    <t>Albertkade</t>
  </si>
  <si>
    <t>22ZFL004702----L</t>
  </si>
  <si>
    <t>Prins Albertlaan (Zuidkaai)</t>
  </si>
  <si>
    <t>IZEGEM</t>
  </si>
  <si>
    <t>22ZFL005896----S</t>
  </si>
  <si>
    <t>Scheldelaan (Haven 663)</t>
  </si>
  <si>
    <t>22ZFL005938----D</t>
  </si>
  <si>
    <t>Erembodegemstraat</t>
  </si>
  <si>
    <t>AALST (WKK TATE EN LYLE)</t>
  </si>
  <si>
    <t>22ZFL004818----7</t>
  </si>
  <si>
    <t>De Bruyckerweg</t>
  </si>
  <si>
    <t>DROGENBOS</t>
  </si>
  <si>
    <t>22ZFL004817----D</t>
  </si>
  <si>
    <t>Rodenhuizekaai</t>
  </si>
  <si>
    <t>DESTELDONK</t>
  </si>
  <si>
    <t>22ZFL005933----6</t>
  </si>
  <si>
    <t>Rue de Fechereux</t>
  </si>
  <si>
    <t>22ZFL004827----6</t>
  </si>
  <si>
    <t>Rue du pont du Val</t>
  </si>
  <si>
    <t>1B</t>
  </si>
  <si>
    <t>22ZFL004829----V</t>
  </si>
  <si>
    <t>Buitenring Wondelgem</t>
  </si>
  <si>
    <t>22ZFL004819----1</t>
  </si>
  <si>
    <t>Jan Frans Willemstraat</t>
  </si>
  <si>
    <t>VILVOORDE</t>
  </si>
  <si>
    <t>22ZFL004980----Z</t>
  </si>
  <si>
    <t>Pathoekeweg</t>
  </si>
  <si>
    <t>22ZFL004809----8</t>
  </si>
  <si>
    <t>22ZFL004828----0</t>
  </si>
  <si>
    <t>rue d'Hautrage</t>
  </si>
  <si>
    <t>22ZFL-757510---U</t>
  </si>
  <si>
    <t>PP/ TOTAL DIRECT ENERGIE MARCINELLE</t>
  </si>
  <si>
    <t>Rue De La Providence</t>
  </si>
  <si>
    <t>22ZFL005934----0</t>
  </si>
  <si>
    <t>rue Chauw à Roc</t>
  </si>
  <si>
    <t>ROUX</t>
  </si>
  <si>
    <t>22ZFL007139----G</t>
  </si>
  <si>
    <t>PP/CHP BAYER AGRICULTURE ANTWERPEN</t>
  </si>
  <si>
    <t>57ZFL007385----E</t>
  </si>
  <si>
    <t>PP/CHP Citrique Tienen</t>
  </si>
  <si>
    <t>31153-N02</t>
  </si>
  <si>
    <t>22ZFL004839----O</t>
  </si>
  <si>
    <t>Canadastraat Haven 1009</t>
  </si>
  <si>
    <t>22ZFL005936----P</t>
  </si>
  <si>
    <t>Noordkaai poort F</t>
  </si>
  <si>
    <t>22ZFL-004822---L</t>
  </si>
  <si>
    <t>Haven 1053 - Nieuwe Weg</t>
  </si>
  <si>
    <t>Haven 1930 - Geslecht</t>
  </si>
  <si>
    <t>22ZFL005564----B</t>
  </si>
  <si>
    <t>22ZFL522930----D</t>
  </si>
  <si>
    <t>81263-N02</t>
  </si>
  <si>
    <t>Oude Baan</t>
  </si>
  <si>
    <t>DENDENRMONDE</t>
  </si>
  <si>
    <t>22ZFL004834----H</t>
  </si>
  <si>
    <t>Montaigneweg</t>
  </si>
  <si>
    <t>22ZFL004707----S</t>
  </si>
  <si>
    <t>scheldelaan</t>
  </si>
  <si>
    <t>22ZFL004815----P</t>
  </si>
  <si>
    <t>Rue Chauw-à-Roc</t>
  </si>
  <si>
    <t>22ZFL005941----B</t>
  </si>
  <si>
    <t>Knippegroen</t>
  </si>
  <si>
    <t>SINT-KRUISWINKEL</t>
  </si>
  <si>
    <t>22ZFL005940----H</t>
  </si>
  <si>
    <t>zn</t>
  </si>
  <si>
    <t>22ZFL005955----H</t>
  </si>
  <si>
    <t>Rue Joseph Wauters</t>
  </si>
  <si>
    <t>22ZFL004782----2</t>
  </si>
  <si>
    <t>Prayon Rupel Puurs</t>
  </si>
  <si>
    <t>32577-N01</t>
  </si>
  <si>
    <t>32577</t>
  </si>
  <si>
    <t>Gansbroekstraat</t>
  </si>
  <si>
    <t>22ZFL004730----C</t>
  </si>
  <si>
    <t>Route De La Bruyère</t>
  </si>
  <si>
    <t>EGHEZEE</t>
  </si>
  <si>
    <t>22ZFL005855----P</t>
  </si>
  <si>
    <t>Meulestedekaai</t>
  </si>
  <si>
    <t>22ZFL004743----O</t>
  </si>
  <si>
    <t>22ZFL424970----F</t>
  </si>
  <si>
    <t>Route de Liers</t>
  </si>
  <si>
    <t>MILMORT</t>
  </si>
  <si>
    <t>22ZFL811550----H</t>
  </si>
  <si>
    <t>St Jansweg - Haven 1602</t>
  </si>
  <si>
    <t>22ZFL428910----L</t>
  </si>
  <si>
    <t>Route de Wallonie</t>
  </si>
  <si>
    <t>22ZFL004772----9</t>
  </si>
  <si>
    <t>Rue du Lion</t>
  </si>
  <si>
    <t>COUVIN</t>
  </si>
  <si>
    <t>22ZFL532710----X</t>
  </si>
  <si>
    <t>Chaussée de Ramioul</t>
  </si>
  <si>
    <t>IVOZ-RAMET</t>
  </si>
  <si>
    <t>22ZFL007155----Q</t>
  </si>
  <si>
    <t>Industrieterrein - Maatheide</t>
  </si>
  <si>
    <t>22ZFL110430----E</t>
  </si>
  <si>
    <t>01/06/2016 - Done</t>
  </si>
  <si>
    <t>De Zate</t>
  </si>
  <si>
    <t>DESSEL</t>
  </si>
  <si>
    <t>22ZFL004696----G</t>
  </si>
  <si>
    <t>Rue de Douvrain 19</t>
  </si>
  <si>
    <t>22ZFL732690----0</t>
  </si>
  <si>
    <t>22ZFL875630----1</t>
  </si>
  <si>
    <t>Avenue Champion</t>
  </si>
  <si>
    <t>24/Z</t>
  </si>
  <si>
    <t>22ZFL007146----R</t>
  </si>
  <si>
    <t>route de Saint-Hubert</t>
  </si>
  <si>
    <t>RECOGNE</t>
  </si>
  <si>
    <t>22ZFL004787----9</t>
  </si>
  <si>
    <t>Route Nationale</t>
  </si>
  <si>
    <t>GOSSELIES</t>
  </si>
  <si>
    <t>22ZFL551030----R</t>
  </si>
  <si>
    <t>Avenue des Etats-Unis</t>
  </si>
  <si>
    <t>22ZFL004752----N</t>
  </si>
  <si>
    <t>Zoning Industriel - Avenue du Marquis</t>
  </si>
  <si>
    <t>22ZFL007135----3</t>
  </si>
  <si>
    <t>Zoning Industriel de Burtonville</t>
  </si>
  <si>
    <t>VIELSALM</t>
  </si>
  <si>
    <t>22ZFL006008----N</t>
  </si>
  <si>
    <t>Sint-Jansweg</t>
  </si>
  <si>
    <t>57ZFL007323----V</t>
  </si>
  <si>
    <t>Wondelgemkaai</t>
  </si>
  <si>
    <t>22ZFL425710----R</t>
  </si>
  <si>
    <t>hoek Geerard v Daelelaan en Gotborgstraat</t>
  </si>
  <si>
    <t>22ZFL425270----P</t>
  </si>
  <si>
    <t>Etabl. de Wanze - Chemin de Meuse</t>
  </si>
  <si>
    <t>22ZFL004679----C</t>
  </si>
  <si>
    <t>Genk Zuid, Zone 12B - Henry Fordlaan</t>
  </si>
  <si>
    <t>22ZFL130650----1</t>
  </si>
  <si>
    <t>rue de Tyberchamps</t>
  </si>
  <si>
    <t>22ZFL55730-----D</t>
  </si>
  <si>
    <t>Pantserschipstraat</t>
  </si>
  <si>
    <t>22ZFL005902----X</t>
  </si>
  <si>
    <t xml:space="preserve">Burchtstraat </t>
  </si>
  <si>
    <t>AALST</t>
  </si>
  <si>
    <t>Bergstraat</t>
  </si>
  <si>
    <t>HAM</t>
  </si>
  <si>
    <t>57ZFL007185----U</t>
  </si>
  <si>
    <t>Marius Duchéstraat</t>
  </si>
  <si>
    <t>22ZFL322710----S</t>
  </si>
  <si>
    <t>Rue de l'Acier</t>
  </si>
  <si>
    <t>22ZFL004875----K</t>
  </si>
  <si>
    <t>Charleroi 1 - BP 1002</t>
  </si>
  <si>
    <t>22ZFL004873----W</t>
  </si>
  <si>
    <t>Au Wérihet</t>
  </si>
  <si>
    <t>WANDRE-LIEGE</t>
  </si>
  <si>
    <t>22ZFL005298----R</t>
  </si>
  <si>
    <t>Vinckenboschvest</t>
  </si>
  <si>
    <t>22ZFL004724----W</t>
  </si>
  <si>
    <t>rue de la Jonction</t>
  </si>
  <si>
    <t>22ZFL551590----J</t>
  </si>
  <si>
    <t>Hogewatergangweg</t>
  </si>
  <si>
    <t>SINT-GILLIS-WAAS</t>
  </si>
  <si>
    <t>22ZFL005957----5</t>
  </si>
  <si>
    <t>22ZFL004720----J</t>
  </si>
  <si>
    <t>Haven 1023 - Scheldedijk</t>
  </si>
  <si>
    <t>22ZFL213290----O</t>
  </si>
  <si>
    <t>Zoning Industriel- Zone C</t>
  </si>
  <si>
    <t>22ZFL004761----M</t>
  </si>
  <si>
    <t>22ZFL004723----1</t>
  </si>
  <si>
    <t>57ZFL-007184---P</t>
  </si>
  <si>
    <t>Industriepark - Leukaard</t>
  </si>
  <si>
    <t>22ZFL180730----V</t>
  </si>
  <si>
    <t>Klein Terbankstraat</t>
  </si>
  <si>
    <t>TILDONK</t>
  </si>
  <si>
    <t>22ZFL13710-----J</t>
  </si>
  <si>
    <t>22ZFL875510----N</t>
  </si>
  <si>
    <t>22ZFL004697----A</t>
  </si>
  <si>
    <t>A. Greinerstraat</t>
  </si>
  <si>
    <t>HOBOKEN</t>
  </si>
  <si>
    <t>22ZFL004722----7</t>
  </si>
  <si>
    <t>Watertorenstraat</t>
  </si>
  <si>
    <t>OLEN</t>
  </si>
  <si>
    <t>22ZFL004708----M</t>
  </si>
  <si>
    <t xml:space="preserve">01/09/2015 - Done
</t>
  </si>
  <si>
    <t>maeghermanstraat</t>
  </si>
  <si>
    <t>RONSE</t>
  </si>
  <si>
    <t>22ZFL444110----R</t>
  </si>
  <si>
    <t>Nijverheidslaan</t>
  </si>
  <si>
    <t>DILSEN-STOKEM</t>
  </si>
  <si>
    <t>22ZFL004705----3</t>
  </si>
  <si>
    <t>22ZFL004694----S</t>
  </si>
  <si>
    <t xml:space="preserve">01/06/2016 - Done
</t>
  </si>
  <si>
    <t>J.F. Kennedylaan</t>
  </si>
  <si>
    <t>22ZFL004742----U</t>
  </si>
  <si>
    <t>57ZFL007179----D</t>
  </si>
  <si>
    <t>Heilig Hartlaan - Industriepark Schoonhees</t>
  </si>
  <si>
    <t>22ZFL004700----X</t>
  </si>
  <si>
    <t>2de Carabinierslaan</t>
  </si>
  <si>
    <t>VELDWEZELT</t>
  </si>
  <si>
    <t>22ZFL1003342---U</t>
  </si>
  <si>
    <t>Rue de la Carbo</t>
  </si>
  <si>
    <t>22ZFL711910----O</t>
  </si>
  <si>
    <t>Haven 726 Scheldelaan</t>
  </si>
  <si>
    <t>22ZFL005822----R</t>
  </si>
  <si>
    <t>PS Cost</t>
  </si>
  <si>
    <r>
      <t xml:space="preserve">Instructions: 
</t>
    </r>
    <r>
      <rPr>
        <i/>
        <sz val="8"/>
        <rFont val="Arial"/>
        <family val="2"/>
      </rPr>
      <t>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October 2024"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</si>
  <si>
    <t>AGC AUTOMOTIVE BELGIUM FLEUR</t>
  </si>
  <si>
    <t>MILCOBEL DAIRY NV LANGEMARK</t>
  </si>
  <si>
    <t>MILCOBEL DAIRY NV KALLO</t>
  </si>
  <si>
    <t>PRINCE MINERALS HAUTRAGE</t>
  </si>
  <si>
    <t>ESSITY PLD BELGIUM STEMBERT</t>
  </si>
  <si>
    <t>LANXESS BELGIUM NV KALLO</t>
  </si>
  <si>
    <t>LANXESS PERFORMANCE MATERIALS NV LILLO</t>
  </si>
  <si>
    <t>LAWTER EUROPE BV</t>
  </si>
  <si>
    <t>LIBERTY LIEGE DUDELANGE (GALVA 4-5)</t>
  </si>
  <si>
    <t>AURUBIS BEERSE</t>
  </si>
  <si>
    <t>NLMK II LA LOUVIERE</t>
  </si>
  <si>
    <t>ADVARIO STOLTHAVEN ANTWERP NV</t>
  </si>
  <si>
    <t>ADVANCED POWER SOLUTIONS TESSENDERLO</t>
  </si>
  <si>
    <t>PP/ EDF LUMINUS GENT HAM UFM (CC)</t>
  </si>
  <si>
    <t>PP/CHP ORAFTI OREYE</t>
  </si>
  <si>
    <t>MOLYMET BELGIUM NV GENT</t>
  </si>
  <si>
    <t>HYDRO EXTRUSIONS GHLIN</t>
  </si>
  <si>
    <t>NEXT FRONTIER NV TE TILDONK</t>
  </si>
  <si>
    <t>PP/CHP OP DE BEECK BEVEREN</t>
  </si>
  <si>
    <t>42902-N01</t>
  </si>
  <si>
    <t>42995-N01</t>
  </si>
  <si>
    <t>LIBERTY LIEGE DUDELANGE (GALVA 2-3)</t>
  </si>
  <si>
    <t>86131-N01</t>
  </si>
  <si>
    <t>UPGRADE BIO-ENERGY BEVEREN</t>
  </si>
  <si>
    <t>Molenweg</t>
  </si>
  <si>
    <t>Sint-Antoniusweg(KAL)</t>
  </si>
  <si>
    <t>004881</t>
  </si>
  <si>
    <t>005904</t>
  </si>
  <si>
    <t>UPGRADE BIO -ENERGY BEVEREN</t>
  </si>
  <si>
    <t>007441</t>
  </si>
  <si>
    <t>01/06/2021 - Done</t>
  </si>
  <si>
    <t>01/06/2022 - Done</t>
  </si>
  <si>
    <t>01/06/2023 - Done</t>
  </si>
  <si>
    <t>01/09/2020 - Done</t>
  </si>
  <si>
    <t>22ZFL005904----L</t>
  </si>
  <si>
    <t>57ZFL007441----L</t>
  </si>
  <si>
    <t>yellow: cell has been updated vs 2024 excel version</t>
  </si>
  <si>
    <t>(max 31/12/2025)</t>
  </si>
  <si>
    <t>(min 01/01/2024)</t>
  </si>
  <si>
    <t>LOCK'O ATHUS</t>
  </si>
  <si>
    <t>LRM LEASE LOMMEL</t>
  </si>
  <si>
    <t>MAGOLUX MESSANCY</t>
  </si>
  <si>
    <t xml:space="preserve">PP/ GENERATION BRUSSELS VILVOORDE </t>
  </si>
  <si>
    <t>SINTERCO MARCHE-LES-DAMES</t>
  </si>
  <si>
    <t>PP/CHP OP DE BEECK</t>
  </si>
  <si>
    <t>87555-N01</t>
  </si>
  <si>
    <t>87555</t>
  </si>
  <si>
    <t>Avenue de l'Europe</t>
  </si>
  <si>
    <t>ATHUS</t>
  </si>
  <si>
    <t xml:space="preserve">LOCK'O ATHUS </t>
  </si>
  <si>
    <t>875550</t>
  </si>
  <si>
    <t>22ZFL875550----W</t>
  </si>
  <si>
    <t>11049-N01</t>
  </si>
  <si>
    <t>11049</t>
  </si>
  <si>
    <t>Balendijk</t>
  </si>
  <si>
    <t>004695</t>
  </si>
  <si>
    <t>22ZFL004695----M</t>
  </si>
  <si>
    <t>87541-N01</t>
  </si>
  <si>
    <t>87541</t>
  </si>
  <si>
    <t>Rue de la Hart</t>
  </si>
  <si>
    <t>875410</t>
  </si>
  <si>
    <t>22ZFL875410----V</t>
  </si>
  <si>
    <t>Foreseen on 01/06/2023</t>
  </si>
  <si>
    <t>86773-N01</t>
  </si>
  <si>
    <t>86773</t>
  </si>
  <si>
    <t>Rue Haigniaux</t>
  </si>
  <si>
    <t>NAMECHE</t>
  </si>
  <si>
    <t>SINTERCO SA MARCHE-LES-DAMES</t>
  </si>
  <si>
    <t>005931</t>
  </si>
  <si>
    <t>22ZFL005931----I</t>
  </si>
  <si>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2025 are currently known. Tariffs for  years as from 2025 are not yet known (modifications due to yearly indexation or due to potential tariff modification after the current tariff period are possible in the future). The calculations in this sheet assume that the 2025 applicable tariffs remain identical in the future years. 
Not all combinations of capacity type, period and point might be bookable.
Odorisation costs on Distribution Domestic Exit Points are not reflected as they are not invoiced to the shipper but to the DSO.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</si>
</sst>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0.000000"/>
    <numFmt numFmtId="166" formatCode="0.000"/>
    <numFmt numFmtId="167" formatCode="_([$€-2]\ * #,##0.00_);_([$€-2]\ * \(#,##0.00\);_([$€-2]\ * &quot;-&quot;??_);_(@_)"/>
    <numFmt numFmtId="168" formatCode="[$€-2]\ #,##0_);\([$€-2]\ #,##0\)"/>
    <numFmt numFmtId="169" formatCode="_([$€-2]\ * #,##0_);_([$€-2]\ * \(#,##0\);_([$€-2]\ * &quot;-&quot;??_);_(@_)"/>
    <numFmt numFmtId="170" formatCode="0.0000"/>
    <numFmt numFmtId="171" formatCode="0.0"/>
    <numFmt numFmtId="172" formatCode="[$-409]mmmm\ d\,\ yyyy;@"/>
    <numFmt numFmtId="173" formatCode="[$-F800]dddd\,\ mmmm\ dd\,\ yyyy"/>
    <numFmt numFmtId="174" formatCode="0.00000"/>
    <numFmt numFmtId="175" formatCode="0.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rgb="FFFFFFFF"/>
      <name val="Arial"/>
      <family val="2"/>
    </font>
    <font>
      <sz val="9"/>
      <color rgb="FF000000"/>
      <name val="Arial"/>
      <family val="2"/>
    </font>
    <font>
      <sz val="8"/>
      <name val="Arial"/>
      <family val="2"/>
    </font>
    <font>
      <sz val="11"/>
      <name val="Calibri"/>
      <family val="2"/>
    </font>
  </fonts>
  <fills count="10">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6" fillId="0" borderId="0"/>
    <xf numFmtId="164" fontId="16"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cellStyleXfs>
  <cellXfs count="210">
    <xf numFmtId="0" fontId="0" fillId="0" borderId="0" xfId="0"/>
    <xf numFmtId="0" fontId="17" fillId="4" borderId="0" xfId="1" applyFont="1" applyFill="1" applyProtection="1">
      <protection hidden="1"/>
    </xf>
    <xf numFmtId="0" fontId="16" fillId="0" borderId="0" xfId="1" applyProtection="1">
      <protection hidden="1"/>
    </xf>
    <xf numFmtId="0" fontId="16" fillId="0" borderId="0" xfId="1" applyFill="1" applyProtection="1">
      <protection hidden="1"/>
    </xf>
    <xf numFmtId="14" fontId="16" fillId="0" borderId="0" xfId="1" applyNumberFormat="1" applyProtection="1">
      <protection hidden="1"/>
    </xf>
    <xf numFmtId="0" fontId="16" fillId="3" borderId="0" xfId="1" applyFill="1" applyProtection="1">
      <protection hidden="1"/>
    </xf>
    <xf numFmtId="0" fontId="17" fillId="0" borderId="0" xfId="1" applyFont="1" applyFill="1" applyProtection="1">
      <protection hidden="1"/>
    </xf>
    <xf numFmtId="173" fontId="16" fillId="0" borderId="0" xfId="1" applyNumberFormat="1" applyProtection="1">
      <protection hidden="1"/>
    </xf>
    <xf numFmtId="0" fontId="17" fillId="0" borderId="1" xfId="1" applyFont="1" applyFill="1" applyBorder="1" applyProtection="1">
      <protection hidden="1"/>
    </xf>
    <xf numFmtId="0" fontId="16" fillId="0" borderId="1" xfId="1" applyBorder="1" applyProtection="1">
      <protection hidden="1"/>
    </xf>
    <xf numFmtId="0" fontId="17" fillId="0" borderId="1" xfId="1" applyFont="1" applyBorder="1" applyAlignment="1" applyProtection="1">
      <protection hidden="1"/>
    </xf>
    <xf numFmtId="169" fontId="16" fillId="0" borderId="1" xfId="1" applyNumberFormat="1" applyFont="1" applyFill="1" applyBorder="1" applyProtection="1">
      <protection hidden="1"/>
    </xf>
    <xf numFmtId="169" fontId="16" fillId="0" borderId="1" xfId="2" applyNumberFormat="1" applyFont="1" applyFill="1" applyBorder="1" applyProtection="1">
      <protection hidden="1"/>
    </xf>
    <xf numFmtId="0" fontId="17" fillId="0" borderId="7" xfId="1" applyFont="1" applyFill="1" applyBorder="1" applyProtection="1">
      <protection hidden="1"/>
    </xf>
    <xf numFmtId="168" fontId="16" fillId="0" borderId="1" xfId="1" applyNumberFormat="1" applyFont="1" applyFill="1" applyBorder="1" applyProtection="1">
      <protection hidden="1"/>
    </xf>
    <xf numFmtId="0" fontId="17" fillId="0" borderId="0" xfId="1" applyFont="1" applyFill="1" applyBorder="1" applyAlignment="1" applyProtection="1">
      <alignment horizontal="center"/>
      <protection hidden="1"/>
    </xf>
    <xf numFmtId="0" fontId="17" fillId="0" borderId="1" xfId="1" applyFont="1" applyBorder="1" applyProtection="1">
      <protection hidden="1"/>
    </xf>
    <xf numFmtId="0" fontId="16" fillId="0" borderId="1" xfId="1" applyFont="1" applyBorder="1" applyAlignment="1" applyProtection="1">
      <alignment horizontal="right"/>
      <protection hidden="1"/>
    </xf>
    <xf numFmtId="0" fontId="17" fillId="0" borderId="1" xfId="1" applyFont="1" applyBorder="1" applyAlignment="1" applyProtection="1">
      <alignment horizontal="right"/>
      <protection hidden="1"/>
    </xf>
    <xf numFmtId="0" fontId="17" fillId="0" borderId="0" xfId="1" applyFont="1" applyBorder="1" applyProtection="1">
      <protection hidden="1"/>
    </xf>
    <xf numFmtId="0" fontId="16" fillId="0" borderId="1" xfId="1" applyFill="1" applyBorder="1" applyProtection="1">
      <protection hidden="1"/>
    </xf>
    <xf numFmtId="0" fontId="16" fillId="0" borderId="0" xfId="1" applyBorder="1" applyProtection="1">
      <protection hidden="1"/>
    </xf>
    <xf numFmtId="0" fontId="17" fillId="3" borderId="0" xfId="1" applyFont="1" applyFill="1" applyBorder="1" applyAlignment="1" applyProtection="1">
      <protection hidden="1"/>
    </xf>
    <xf numFmtId="0" fontId="17" fillId="0" borderId="0" xfId="1" applyFont="1" applyFill="1" applyBorder="1" applyAlignment="1" applyProtection="1">
      <protection hidden="1"/>
    </xf>
    <xf numFmtId="0" fontId="16" fillId="3" borderId="0" xfId="1" applyFill="1" applyBorder="1" applyProtection="1">
      <protection hidden="1"/>
    </xf>
    <xf numFmtId="0" fontId="16" fillId="0" borderId="0" xfId="1" applyFill="1" applyBorder="1" applyProtection="1">
      <protection hidden="1"/>
    </xf>
    <xf numFmtId="167" fontId="16" fillId="0" borderId="0" xfId="1" applyNumberFormat="1" applyFill="1" applyBorder="1" applyProtection="1">
      <protection hidden="1"/>
    </xf>
    <xf numFmtId="0" fontId="17" fillId="0" borderId="0" xfId="1" applyFont="1" applyProtection="1">
      <protection hidden="1"/>
    </xf>
    <xf numFmtId="0" fontId="15" fillId="0" borderId="0" xfId="1" applyFont="1" applyFill="1" applyBorder="1" applyProtection="1">
      <protection hidden="1"/>
    </xf>
    <xf numFmtId="0" fontId="15" fillId="0" borderId="0" xfId="1" applyFont="1" applyFill="1" applyBorder="1" applyAlignment="1" applyProtection="1">
      <protection hidden="1"/>
    </xf>
    <xf numFmtId="0" fontId="14" fillId="3" borderId="0" xfId="1" applyFont="1" applyFill="1" applyProtection="1">
      <protection hidden="1"/>
    </xf>
    <xf numFmtId="0" fontId="17" fillId="0" borderId="0" xfId="1" applyFont="1" applyFill="1" applyBorder="1" applyProtection="1">
      <protection hidden="1"/>
    </xf>
    <xf numFmtId="0" fontId="16" fillId="0" borderId="0" xfId="1" applyBorder="1" applyAlignment="1" applyProtection="1">
      <alignment horizontal="right"/>
      <protection hidden="1"/>
    </xf>
    <xf numFmtId="0" fontId="17" fillId="0" borderId="0" xfId="1" applyFont="1" applyBorder="1" applyAlignment="1" applyProtection="1">
      <alignment horizontal="center"/>
      <protection hidden="1"/>
    </xf>
    <xf numFmtId="0" fontId="13" fillId="3" borderId="0" xfId="1" applyFont="1" applyFill="1" applyBorder="1" applyProtection="1">
      <protection hidden="1"/>
    </xf>
    <xf numFmtId="0" fontId="13" fillId="0" borderId="0" xfId="1" applyFont="1" applyFill="1" applyBorder="1" applyProtection="1">
      <protection hidden="1"/>
    </xf>
    <xf numFmtId="0" fontId="17" fillId="0" borderId="1" xfId="1" applyFont="1" applyFill="1" applyBorder="1" applyAlignment="1" applyProtection="1">
      <protection hidden="1"/>
    </xf>
    <xf numFmtId="17" fontId="16" fillId="0" borderId="1" xfId="1" applyNumberFormat="1" applyBorder="1" applyProtection="1">
      <protection hidden="1"/>
    </xf>
    <xf numFmtId="14" fontId="16" fillId="0" borderId="1" xfId="1" applyNumberFormat="1" applyFont="1" applyFill="1" applyBorder="1" applyProtection="1">
      <protection hidden="1"/>
    </xf>
    <xf numFmtId="2" fontId="16" fillId="0" borderId="1" xfId="1" applyNumberFormat="1" applyFill="1" applyBorder="1" applyProtection="1">
      <protection hidden="1"/>
    </xf>
    <xf numFmtId="3" fontId="14" fillId="0" borderId="1" xfId="1" applyNumberFormat="1" applyFont="1" applyFill="1" applyBorder="1" applyProtection="1">
      <protection hidden="1"/>
    </xf>
    <xf numFmtId="0" fontId="13" fillId="0" borderId="1" xfId="1" applyFont="1" applyFill="1" applyBorder="1" applyProtection="1">
      <protection hidden="1"/>
    </xf>
    <xf numFmtId="3" fontId="16" fillId="0" borderId="1" xfId="1" applyNumberFormat="1" applyFill="1" applyBorder="1" applyProtection="1">
      <protection hidden="1"/>
    </xf>
    <xf numFmtId="3" fontId="13" fillId="0" borderId="1" xfId="1" applyNumberFormat="1" applyFont="1" applyFill="1" applyBorder="1" applyProtection="1">
      <protection hidden="1"/>
    </xf>
    <xf numFmtId="2" fontId="13" fillId="0" borderId="1" xfId="1" applyNumberFormat="1" applyFont="1" applyFill="1" applyBorder="1" applyProtection="1">
      <protection hidden="1"/>
    </xf>
    <xf numFmtId="167" fontId="13" fillId="0" borderId="1" xfId="1" applyNumberFormat="1" applyFont="1" applyFill="1" applyBorder="1" applyAlignment="1" applyProtection="1">
      <alignment vertical="center"/>
      <protection hidden="1"/>
    </xf>
    <xf numFmtId="167" fontId="15" fillId="0" borderId="1" xfId="1" applyNumberFormat="1" applyFont="1" applyFill="1" applyBorder="1" applyAlignment="1" applyProtection="1">
      <alignment vertical="center"/>
      <protection hidden="1"/>
    </xf>
    <xf numFmtId="17" fontId="16" fillId="0" borderId="0" xfId="1" applyNumberFormat="1" applyBorder="1" applyProtection="1">
      <protection hidden="1"/>
    </xf>
    <xf numFmtId="14" fontId="16" fillId="0" borderId="0" xfId="1" applyNumberFormat="1" applyFont="1" applyFill="1" applyBorder="1" applyProtection="1">
      <protection hidden="1"/>
    </xf>
    <xf numFmtId="2" fontId="16" fillId="0" borderId="0" xfId="1" applyNumberFormat="1" applyFill="1" applyBorder="1" applyProtection="1">
      <protection hidden="1"/>
    </xf>
    <xf numFmtId="171" fontId="16" fillId="0" borderId="0" xfId="1" applyNumberFormat="1" applyFill="1" applyBorder="1" applyProtection="1">
      <protection hidden="1"/>
    </xf>
    <xf numFmtId="3" fontId="14" fillId="0" borderId="0" xfId="1" applyNumberFormat="1" applyFont="1" applyFill="1" applyBorder="1" applyProtection="1">
      <protection hidden="1"/>
    </xf>
    <xf numFmtId="3" fontId="13" fillId="0" borderId="0" xfId="1" applyNumberFormat="1" applyFont="1" applyFill="1" applyBorder="1" applyAlignment="1" applyProtection="1">
      <alignment horizontal="center" vertical="center"/>
      <protection hidden="1"/>
    </xf>
    <xf numFmtId="3" fontId="16" fillId="0" borderId="0" xfId="1" applyNumberFormat="1" applyFill="1" applyBorder="1" applyProtection="1">
      <protection hidden="1"/>
    </xf>
    <xf numFmtId="3" fontId="13" fillId="0" borderId="0" xfId="1" applyNumberFormat="1" applyFont="1" applyFill="1" applyBorder="1" applyProtection="1">
      <protection hidden="1"/>
    </xf>
    <xf numFmtId="2" fontId="13" fillId="0" borderId="0" xfId="1" applyNumberFormat="1" applyFont="1" applyFill="1" applyBorder="1" applyProtection="1">
      <protection hidden="1"/>
    </xf>
    <xf numFmtId="167" fontId="13" fillId="0" borderId="0" xfId="1" applyNumberFormat="1" applyFont="1" applyFill="1" applyBorder="1" applyAlignment="1" applyProtection="1">
      <alignment vertical="center"/>
      <protection hidden="1"/>
    </xf>
    <xf numFmtId="167" fontId="15" fillId="0" borderId="0" xfId="1" applyNumberFormat="1" applyFont="1" applyFill="1" applyBorder="1" applyAlignment="1" applyProtection="1">
      <alignment vertical="center"/>
      <protection hidden="1"/>
    </xf>
    <xf numFmtId="167" fontId="16" fillId="0" borderId="0" xfId="1" applyNumberFormat="1" applyBorder="1" applyAlignment="1" applyProtection="1">
      <protection hidden="1"/>
    </xf>
    <xf numFmtId="167" fontId="17" fillId="0" borderId="0" xfId="1" applyNumberFormat="1" applyFont="1" applyFill="1" applyBorder="1" applyAlignment="1" applyProtection="1">
      <protection hidden="1"/>
    </xf>
    <xf numFmtId="14" fontId="16" fillId="0" borderId="1" xfId="1" applyNumberFormat="1" applyFill="1" applyBorder="1" applyProtection="1">
      <protection hidden="1"/>
    </xf>
    <xf numFmtId="0" fontId="15" fillId="0" borderId="0" xfId="1" applyFont="1" applyFill="1" applyProtection="1">
      <protection hidden="1"/>
    </xf>
    <xf numFmtId="14" fontId="16" fillId="0" borderId="0" xfId="1" applyNumberFormat="1" applyProtection="1">
      <protection hidden="1"/>
    </xf>
    <xf numFmtId="0" fontId="0" fillId="0" borderId="0" xfId="0" applyProtection="1">
      <protection hidden="1"/>
    </xf>
    <xf numFmtId="166" fontId="16" fillId="0" borderId="1" xfId="1" applyNumberFormat="1" applyFill="1" applyBorder="1" applyProtection="1">
      <protection hidden="1"/>
    </xf>
    <xf numFmtId="170" fontId="16" fillId="0" borderId="1" xfId="1" applyNumberFormat="1" applyFill="1" applyBorder="1" applyAlignment="1" applyProtection="1">
      <alignment horizontal="center"/>
      <protection hidden="1"/>
    </xf>
    <xf numFmtId="14" fontId="16" fillId="0" borderId="0" xfId="1" applyNumberFormat="1" applyFill="1" applyProtection="1">
      <protection hidden="1"/>
    </xf>
    <xf numFmtId="166" fontId="0" fillId="0" borderId="1" xfId="3" applyNumberFormat="1" applyFont="1" applyBorder="1" applyProtection="1">
      <protection hidden="1"/>
    </xf>
    <xf numFmtId="0" fontId="20" fillId="2" borderId="3" xfId="1" applyNumberFormat="1" applyFont="1" applyFill="1" applyBorder="1" applyAlignment="1" applyProtection="1">
      <alignment wrapText="1" readingOrder="1"/>
      <protection hidden="1"/>
    </xf>
    <xf numFmtId="0" fontId="19" fillId="0" borderId="0" xfId="1" applyFont="1" applyFill="1" applyBorder="1" applyProtection="1">
      <protection hidden="1"/>
    </xf>
    <xf numFmtId="49" fontId="18" fillId="0" borderId="2" xfId="1" applyNumberFormat="1" applyFont="1" applyFill="1" applyBorder="1" applyAlignment="1" applyProtection="1">
      <alignment horizontal="center" vertical="top" wrapText="1" readingOrder="1"/>
      <protection hidden="1"/>
    </xf>
    <xf numFmtId="0" fontId="8" fillId="0" borderId="0" xfId="1" applyFont="1" applyProtection="1">
      <protection hidden="1"/>
    </xf>
    <xf numFmtId="0" fontId="8" fillId="0" borderId="1" xfId="1" applyFont="1" applyBorder="1" applyProtection="1">
      <protection hidden="1"/>
    </xf>
    <xf numFmtId="0" fontId="8" fillId="0" borderId="1" xfId="1" applyFont="1" applyFill="1" applyBorder="1" applyProtection="1">
      <protection hidden="1"/>
    </xf>
    <xf numFmtId="174" fontId="8" fillId="0" borderId="1" xfId="1" applyNumberFormat="1" applyFont="1" applyBorder="1" applyProtection="1">
      <protection hidden="1"/>
    </xf>
    <xf numFmtId="174" fontId="16" fillId="0" borderId="1" xfId="1" applyNumberFormat="1" applyBorder="1" applyProtection="1">
      <protection hidden="1"/>
    </xf>
    <xf numFmtId="174" fontId="8" fillId="0" borderId="0" xfId="1" applyNumberFormat="1" applyFont="1" applyProtection="1">
      <protection hidden="1"/>
    </xf>
    <xf numFmtId="0" fontId="7" fillId="0" borderId="1" xfId="1" applyFont="1" applyBorder="1" applyProtection="1">
      <protection hidden="1"/>
    </xf>
    <xf numFmtId="0" fontId="7" fillId="0" borderId="0" xfId="1" applyFont="1" applyProtection="1">
      <protection hidden="1"/>
    </xf>
    <xf numFmtId="167" fontId="16" fillId="0" borderId="1" xfId="1" applyNumberFormat="1" applyBorder="1" applyProtection="1">
      <protection hidden="1"/>
    </xf>
    <xf numFmtId="0" fontId="7" fillId="0" borderId="1" xfId="1" applyFont="1" applyFill="1" applyBorder="1" applyProtection="1">
      <protection hidden="1"/>
    </xf>
    <xf numFmtId="0" fontId="7" fillId="0" borderId="0" xfId="1" applyFont="1" applyFill="1" applyBorder="1" applyProtection="1">
      <protection hidden="1"/>
    </xf>
    <xf numFmtId="167" fontId="16" fillId="0" borderId="0" xfId="1" applyNumberFormat="1" applyBorder="1" applyProtection="1">
      <protection hidden="1"/>
    </xf>
    <xf numFmtId="169" fontId="7" fillId="0" borderId="1" xfId="1" applyNumberFormat="1" applyFont="1" applyBorder="1" applyProtection="1">
      <protection hidden="1"/>
    </xf>
    <xf numFmtId="0" fontId="7" fillId="0" borderId="1" xfId="1" applyFont="1" applyBorder="1" applyAlignment="1" applyProtection="1">
      <protection hidden="1"/>
    </xf>
    <xf numFmtId="167" fontId="7" fillId="0" borderId="1" xfId="1" applyNumberFormat="1" applyFont="1" applyFill="1" applyBorder="1" applyProtection="1">
      <protection hidden="1"/>
    </xf>
    <xf numFmtId="167" fontId="7" fillId="0" borderId="1" xfId="1" applyNumberFormat="1" applyFont="1" applyBorder="1" applyProtection="1">
      <protection hidden="1"/>
    </xf>
    <xf numFmtId="0" fontId="6" fillId="0" borderId="0" xfId="1" applyFont="1" applyProtection="1">
      <protection hidden="1"/>
    </xf>
    <xf numFmtId="0" fontId="6" fillId="0" borderId="1" xfId="1" applyFont="1" applyBorder="1" applyProtection="1">
      <protection hidden="1"/>
    </xf>
    <xf numFmtId="166" fontId="16" fillId="6" borderId="1" xfId="1" applyNumberFormat="1" applyFill="1" applyBorder="1" applyProtection="1">
      <protection hidden="1"/>
    </xf>
    <xf numFmtId="0" fontId="26" fillId="0" borderId="0" xfId="1" applyFont="1" applyProtection="1">
      <protection hidden="1"/>
    </xf>
    <xf numFmtId="14" fontId="16" fillId="0" borderId="1" xfId="1" applyNumberFormat="1" applyBorder="1" applyProtection="1">
      <protection hidden="1"/>
    </xf>
    <xf numFmtId="0" fontId="8" fillId="0" borderId="0" xfId="1" applyFont="1" applyBorder="1" applyProtection="1">
      <protection hidden="1"/>
    </xf>
    <xf numFmtId="0" fontId="7" fillId="0" borderId="0" xfId="1" applyFont="1" applyBorder="1" applyProtection="1">
      <protection hidden="1"/>
    </xf>
    <xf numFmtId="0" fontId="8" fillId="0" borderId="0" xfId="1" applyFont="1" applyFill="1" applyBorder="1" applyProtection="1">
      <protection hidden="1"/>
    </xf>
    <xf numFmtId="174" fontId="8" fillId="0" borderId="0" xfId="1" applyNumberFormat="1" applyFont="1" applyBorder="1" applyProtection="1">
      <protection hidden="1"/>
    </xf>
    <xf numFmtId="174" fontId="16" fillId="0" borderId="0" xfId="1" applyNumberFormat="1" applyBorder="1" applyProtection="1">
      <protection hidden="1"/>
    </xf>
    <xf numFmtId="0" fontId="6" fillId="0" borderId="0" xfId="1" applyFont="1" applyFill="1" applyProtection="1">
      <protection hidden="1"/>
    </xf>
    <xf numFmtId="3" fontId="16" fillId="5" borderId="1" xfId="1" applyNumberFormat="1" applyFill="1" applyBorder="1" applyProtection="1">
      <protection locked="0"/>
    </xf>
    <xf numFmtId="172" fontId="4" fillId="5" borderId="1" xfId="1" applyNumberFormat="1" applyFont="1" applyFill="1" applyBorder="1" applyProtection="1">
      <protection locked="0"/>
    </xf>
    <xf numFmtId="172" fontId="5" fillId="5" borderId="1" xfId="1" applyNumberFormat="1" applyFont="1" applyFill="1" applyBorder="1" applyProtection="1">
      <protection locked="0"/>
    </xf>
    <xf numFmtId="0" fontId="16" fillId="5" borderId="1" xfId="1" applyFill="1" applyBorder="1" applyProtection="1">
      <protection locked="0"/>
    </xf>
    <xf numFmtId="0" fontId="5" fillId="5" borderId="1" xfId="1" applyFont="1" applyFill="1" applyBorder="1" applyProtection="1">
      <protection locked="0"/>
    </xf>
    <xf numFmtId="172" fontId="9" fillId="5" borderId="1" xfId="1" applyNumberFormat="1" applyFont="1" applyFill="1" applyBorder="1" applyProtection="1">
      <protection locked="0"/>
    </xf>
    <xf numFmtId="172" fontId="11" fillId="5" borderId="1" xfId="1" applyNumberFormat="1" applyFont="1" applyFill="1" applyBorder="1" applyProtection="1">
      <protection locked="0"/>
    </xf>
    <xf numFmtId="2" fontId="16" fillId="0" borderId="0" xfId="1" applyNumberFormat="1" applyProtection="1">
      <protection hidden="1"/>
    </xf>
    <xf numFmtId="0" fontId="3" fillId="0" borderId="0" xfId="1" applyFont="1" applyProtection="1">
      <protection hidden="1"/>
    </xf>
    <xf numFmtId="14" fontId="3" fillId="0" borderId="0" xfId="1" applyNumberFormat="1" applyFont="1" applyProtection="1">
      <protection hidden="1"/>
    </xf>
    <xf numFmtId="0" fontId="30" fillId="2" borderId="2" xfId="0" applyFont="1" applyFill="1" applyBorder="1" applyAlignment="1">
      <alignment wrapText="1" readingOrder="1"/>
    </xf>
    <xf numFmtId="0" fontId="30" fillId="2" borderId="2" xfId="0" applyFont="1" applyFill="1" applyBorder="1" applyAlignment="1">
      <alignment horizontal="right" wrapText="1" readingOrder="1"/>
    </xf>
    <xf numFmtId="0" fontId="30" fillId="2" borderId="3" xfId="0" applyFont="1" applyFill="1" applyBorder="1" applyAlignment="1">
      <alignment horizontal="center" wrapText="1" readingOrder="1"/>
    </xf>
    <xf numFmtId="0" fontId="30" fillId="2" borderId="0" xfId="0" applyFont="1" applyFill="1" applyAlignment="1">
      <alignment horizontal="center" wrapText="1" readingOrder="1"/>
    </xf>
    <xf numFmtId="0" fontId="18" fillId="8" borderId="2" xfId="0" applyFont="1" applyFill="1" applyBorder="1" applyAlignment="1">
      <alignment vertical="top" wrapText="1" readingOrder="1"/>
    </xf>
    <xf numFmtId="0" fontId="18" fillId="8" borderId="2" xfId="0" applyFont="1" applyFill="1" applyBorder="1" applyAlignment="1">
      <alignment horizontal="center" vertical="top" wrapText="1" readingOrder="1"/>
    </xf>
    <xf numFmtId="0" fontId="18" fillId="8" borderId="2" xfId="0" applyFont="1" applyFill="1" applyBorder="1" applyAlignment="1">
      <alignment horizontal="left" vertical="top" wrapText="1" readingOrder="1"/>
    </xf>
    <xf numFmtId="0" fontId="18" fillId="7" borderId="2" xfId="0" applyFont="1" applyFill="1" applyBorder="1" applyAlignment="1">
      <alignment vertical="top" wrapText="1" readingOrder="1"/>
    </xf>
    <xf numFmtId="0" fontId="18" fillId="7" borderId="2" xfId="0" applyFont="1" applyFill="1" applyBorder="1" applyAlignment="1">
      <alignment horizontal="center" vertical="top" wrapText="1" readingOrder="1"/>
    </xf>
    <xf numFmtId="0" fontId="18" fillId="7" borderId="2" xfId="0" applyFont="1" applyFill="1" applyBorder="1" applyAlignment="1">
      <alignment horizontal="left" vertical="top" wrapText="1" readingOrder="1"/>
    </xf>
    <xf numFmtId="0" fontId="18" fillId="0" borderId="2" xfId="0" applyFont="1" applyBorder="1" applyAlignment="1">
      <alignment vertical="top" wrapText="1" readingOrder="1"/>
    </xf>
    <xf numFmtId="0" fontId="18" fillId="0" borderId="2" xfId="0" applyFont="1" applyBorder="1" applyAlignment="1">
      <alignment horizontal="center" vertical="top" wrapText="1" readingOrder="1"/>
    </xf>
    <xf numFmtId="0" fontId="18" fillId="0" borderId="2" xfId="0" quotePrefix="1" applyFont="1" applyBorder="1" applyAlignment="1">
      <alignment horizontal="center" vertical="top" wrapText="1" readingOrder="1"/>
    </xf>
    <xf numFmtId="0" fontId="31" fillId="7" borderId="2" xfId="0" applyFont="1" applyFill="1" applyBorder="1" applyAlignment="1">
      <alignment vertical="top" wrapText="1" readingOrder="1"/>
    </xf>
    <xf numFmtId="0" fontId="31" fillId="7" borderId="2" xfId="0" applyFont="1" applyFill="1" applyBorder="1" applyAlignment="1">
      <alignment horizontal="right" vertical="top" wrapText="1" readingOrder="1"/>
    </xf>
    <xf numFmtId="2" fontId="16" fillId="9" borderId="1" xfId="1" applyNumberFormat="1" applyFill="1" applyBorder="1" applyProtection="1">
      <protection hidden="1"/>
    </xf>
    <xf numFmtId="167" fontId="7" fillId="9" borderId="1" xfId="1" applyNumberFormat="1" applyFont="1" applyFill="1" applyBorder="1" applyProtection="1">
      <protection hidden="1"/>
    </xf>
    <xf numFmtId="0" fontId="16" fillId="9" borderId="1" xfId="1" applyFill="1" applyBorder="1" applyProtection="1">
      <protection hidden="1"/>
    </xf>
    <xf numFmtId="0" fontId="6" fillId="0" borderId="1" xfId="1" applyFont="1" applyFill="1" applyBorder="1" applyProtection="1">
      <protection hidden="1"/>
    </xf>
    <xf numFmtId="17" fontId="16" fillId="0" borderId="1" xfId="1" applyNumberFormat="1" applyFill="1" applyBorder="1" applyProtection="1">
      <protection hidden="1"/>
    </xf>
    <xf numFmtId="167" fontId="16" fillId="0" borderId="1" xfId="1" applyNumberFormat="1" applyFill="1" applyBorder="1" applyProtection="1">
      <protection hidden="1"/>
    </xf>
    <xf numFmtId="0" fontId="16" fillId="0" borderId="0" xfId="1" applyProtection="1"/>
    <xf numFmtId="0" fontId="16" fillId="0" borderId="0" xfId="1" applyFill="1" applyProtection="1"/>
    <xf numFmtId="0" fontId="22" fillId="0" borderId="0" xfId="0" applyFont="1" applyBorder="1" applyAlignment="1" applyProtection="1">
      <alignment horizontal="left" wrapText="1"/>
    </xf>
    <xf numFmtId="0" fontId="16" fillId="4" borderId="0" xfId="1" applyFill="1" applyProtection="1"/>
    <xf numFmtId="0" fontId="17" fillId="0" borderId="0" xfId="1" applyFont="1" applyFill="1" applyProtection="1"/>
    <xf numFmtId="0" fontId="17" fillId="0" borderId="1" xfId="1" applyFont="1" applyBorder="1" applyProtection="1"/>
    <xf numFmtId="0" fontId="16" fillId="0" borderId="1" xfId="1" applyBorder="1" applyProtection="1"/>
    <xf numFmtId="0" fontId="16" fillId="0" borderId="1" xfId="1" applyFont="1" applyBorder="1" applyProtection="1"/>
    <xf numFmtId="0" fontId="16" fillId="0" borderId="0" xfId="1" applyBorder="1" applyProtection="1"/>
    <xf numFmtId="0" fontId="21" fillId="0" borderId="0" xfId="1" quotePrefix="1" applyFont="1" applyProtection="1"/>
    <xf numFmtId="0" fontId="17" fillId="0" borderId="1" xfId="1" applyFont="1" applyFill="1" applyBorder="1" applyProtection="1"/>
    <xf numFmtId="0" fontId="16" fillId="0" borderId="0" xfId="1" applyFill="1" applyBorder="1" applyProtection="1"/>
    <xf numFmtId="14" fontId="16" fillId="0" borderId="0" xfId="1" applyNumberFormat="1" applyFill="1" applyBorder="1" applyProtection="1"/>
    <xf numFmtId="2" fontId="6" fillId="0" borderId="0" xfId="1" applyNumberFormat="1" applyFont="1" applyFill="1" applyBorder="1" applyProtection="1"/>
    <xf numFmtId="0" fontId="10" fillId="0" borderId="0" xfId="1" applyFont="1" applyProtection="1"/>
    <xf numFmtId="0" fontId="12" fillId="0" borderId="0" xfId="1" applyFont="1" applyProtection="1"/>
    <xf numFmtId="0" fontId="17" fillId="0" borderId="0" xfId="1" applyFont="1" applyAlignment="1" applyProtection="1"/>
    <xf numFmtId="14" fontId="17" fillId="0" borderId="1" xfId="1" applyNumberFormat="1" applyFont="1" applyBorder="1" applyProtection="1"/>
    <xf numFmtId="0" fontId="8" fillId="0" borderId="1" xfId="1" applyFont="1" applyBorder="1" applyProtection="1"/>
    <xf numFmtId="14" fontId="16" fillId="0" borderId="0" xfId="1" applyNumberFormat="1" applyProtection="1"/>
    <xf numFmtId="0" fontId="6" fillId="0" borderId="0" xfId="1" applyFont="1" applyFill="1" applyProtection="1"/>
    <xf numFmtId="3" fontId="16" fillId="0" borderId="0" xfId="1" applyNumberFormat="1" applyProtection="1"/>
    <xf numFmtId="0" fontId="5" fillId="0" borderId="0" xfId="1" applyFont="1" applyFill="1" applyProtection="1"/>
    <xf numFmtId="0" fontId="13" fillId="0" borderId="1" xfId="1" applyFont="1" applyBorder="1" applyProtection="1"/>
    <xf numFmtId="3" fontId="16" fillId="0" borderId="1" xfId="1" applyNumberFormat="1" applyFill="1" applyBorder="1" applyProtection="1"/>
    <xf numFmtId="0" fontId="13" fillId="0" borderId="0" xfId="1" applyFont="1" applyFill="1" applyProtection="1"/>
    <xf numFmtId="14" fontId="13" fillId="0" borderId="1" xfId="1" applyNumberFormat="1" applyFont="1" applyBorder="1" applyProtection="1"/>
    <xf numFmtId="3" fontId="15" fillId="0" borderId="1" xfId="1" applyNumberFormat="1" applyFont="1" applyFill="1" applyBorder="1" applyProtection="1"/>
    <xf numFmtId="0" fontId="15" fillId="0" borderId="0" xfId="1" applyFont="1" applyFill="1" applyBorder="1" applyProtection="1"/>
    <xf numFmtId="165" fontId="5" fillId="0" borderId="0" xfId="1" applyNumberFormat="1" applyFont="1" applyProtection="1"/>
    <xf numFmtId="0" fontId="16" fillId="0" borderId="0" xfId="1" applyFill="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8" fillId="8" borderId="2" xfId="0" applyNumberFormat="1" applyFont="1" applyFill="1" applyBorder="1" applyAlignment="1">
      <alignment horizontal="left" vertical="top" wrapText="1" readingOrder="1"/>
    </xf>
    <xf numFmtId="0" fontId="18" fillId="0" borderId="2" xfId="0" applyFont="1" applyFill="1" applyBorder="1" applyAlignment="1">
      <alignment vertical="top" wrapText="1" readingOrder="1"/>
    </xf>
    <xf numFmtId="0" fontId="18" fillId="0" borderId="2" xfId="0" applyFont="1" applyFill="1" applyBorder="1" applyAlignment="1">
      <alignment horizontal="center" vertical="top" wrapText="1" readingOrder="1"/>
    </xf>
    <xf numFmtId="0" fontId="18" fillId="0" borderId="2" xfId="0" applyFont="1" applyFill="1" applyBorder="1" applyAlignment="1">
      <alignment horizontal="left" vertical="top" wrapText="1" readingOrder="1"/>
    </xf>
    <xf numFmtId="0" fontId="18" fillId="0" borderId="2" xfId="0" quotePrefix="1" applyFont="1" applyFill="1" applyBorder="1" applyAlignment="1">
      <alignment horizontal="center" vertical="top" wrapText="1" readingOrder="1"/>
    </xf>
    <xf numFmtId="14" fontId="18" fillId="8" borderId="2" xfId="0" applyNumberFormat="1" applyFont="1" applyFill="1" applyBorder="1" applyAlignment="1">
      <alignment vertical="top" wrapText="1" readingOrder="1"/>
    </xf>
    <xf numFmtId="14" fontId="18" fillId="7" borderId="2" xfId="0" applyNumberFormat="1" applyFont="1" applyFill="1" applyBorder="1" applyAlignment="1">
      <alignment vertical="top" wrapText="1" readingOrder="1"/>
    </xf>
    <xf numFmtId="0" fontId="2" fillId="6" borderId="0" xfId="1" applyFont="1" applyFill="1" applyProtection="1">
      <protection hidden="1"/>
    </xf>
    <xf numFmtId="14" fontId="1" fillId="0" borderId="1" xfId="1" applyNumberFormat="1" applyFont="1" applyFill="1" applyBorder="1" applyProtection="1"/>
    <xf numFmtId="0" fontId="33" fillId="0" borderId="0" xfId="0" applyFont="1" applyFill="1" applyAlignment="1">
      <alignment vertical="top" wrapText="1"/>
    </xf>
    <xf numFmtId="0" fontId="22" fillId="0" borderId="9" xfId="0" applyFont="1" applyBorder="1" applyAlignment="1" applyProtection="1">
      <alignment horizontal="left" wrapText="1"/>
    </xf>
    <xf numFmtId="0" fontId="22" fillId="0" borderId="10" xfId="0" applyFont="1" applyBorder="1" applyAlignment="1" applyProtection="1">
      <alignment horizontal="left" wrapText="1"/>
    </xf>
    <xf numFmtId="0" fontId="22" fillId="0" borderId="11" xfId="0" applyFont="1" applyBorder="1" applyAlignment="1" applyProtection="1">
      <alignment horizontal="left" wrapText="1"/>
    </xf>
    <xf numFmtId="0" fontId="17" fillId="0" borderId="1" xfId="1" applyFont="1" applyBorder="1" applyAlignment="1" applyProtection="1">
      <alignment horizontal="center"/>
    </xf>
    <xf numFmtId="0" fontId="25" fillId="0" borderId="9" xfId="1" applyFont="1" applyFill="1" applyBorder="1" applyAlignment="1" applyProtection="1">
      <alignment horizontal="center"/>
    </xf>
    <xf numFmtId="0" fontId="25" fillId="0" borderId="10" xfId="1" applyFont="1" applyFill="1" applyBorder="1" applyAlignment="1" applyProtection="1">
      <alignment horizontal="center"/>
    </xf>
    <xf numFmtId="0" fontId="25" fillId="0" borderId="11" xfId="1" applyFont="1" applyFill="1" applyBorder="1" applyAlignment="1" applyProtection="1">
      <alignment horizontal="center"/>
    </xf>
    <xf numFmtId="0" fontId="17" fillId="4" borderId="0" xfId="1" applyFont="1" applyFill="1" applyAlignment="1" applyProtection="1">
      <alignment horizontal="center"/>
    </xf>
    <xf numFmtId="0" fontId="27" fillId="0" borderId="13" xfId="1" applyFont="1" applyBorder="1" applyAlignment="1" applyProtection="1">
      <alignment horizontal="center" vertical="center" wrapText="1"/>
    </xf>
    <xf numFmtId="0" fontId="27" fillId="0" borderId="14" xfId="1" applyFont="1" applyBorder="1" applyAlignment="1" applyProtection="1">
      <alignment horizontal="center" vertical="center" wrapText="1"/>
    </xf>
    <xf numFmtId="0" fontId="27" fillId="0" borderId="15" xfId="1" applyFont="1" applyBorder="1" applyAlignment="1" applyProtection="1">
      <alignment horizontal="center" vertical="center" wrapText="1"/>
    </xf>
    <xf numFmtId="0" fontId="27" fillId="0" borderId="12" xfId="1" applyFont="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7" fillId="0" borderId="16" xfId="1" applyFont="1" applyBorder="1" applyAlignment="1" applyProtection="1">
      <alignment horizontal="center" vertical="center" wrapText="1"/>
    </xf>
    <xf numFmtId="0" fontId="27" fillId="0" borderId="17" xfId="1" applyFont="1" applyBorder="1" applyAlignment="1" applyProtection="1">
      <alignment horizontal="center" vertical="center" wrapText="1"/>
    </xf>
    <xf numFmtId="0" fontId="27" fillId="0" borderId="8" xfId="1" applyFont="1" applyBorder="1" applyAlignment="1" applyProtection="1">
      <alignment horizontal="center" vertical="center" wrapText="1"/>
    </xf>
    <xf numFmtId="0" fontId="27" fillId="0" borderId="18" xfId="1" applyFont="1" applyBorder="1" applyAlignment="1" applyProtection="1">
      <alignment horizontal="center" vertical="center" wrapText="1"/>
    </xf>
    <xf numFmtId="0" fontId="17" fillId="0" borderId="1" xfId="1" applyFont="1" applyBorder="1" applyAlignment="1" applyProtection="1">
      <alignment horizontal="center"/>
      <protection hidden="1"/>
    </xf>
    <xf numFmtId="0" fontId="17" fillId="0" borderId="6" xfId="1" applyFont="1" applyFill="1" applyBorder="1" applyAlignment="1" applyProtection="1">
      <alignment horizontal="center"/>
      <protection hidden="1"/>
    </xf>
    <xf numFmtId="0" fontId="17" fillId="0" borderId="5" xfId="1" applyFont="1" applyFill="1" applyBorder="1" applyAlignment="1" applyProtection="1">
      <alignment horizontal="center"/>
      <protection hidden="1"/>
    </xf>
    <xf numFmtId="0" fontId="17" fillId="0" borderId="4" xfId="1" applyFont="1" applyFill="1" applyBorder="1" applyAlignment="1" applyProtection="1">
      <alignment horizontal="center"/>
      <protection hidden="1"/>
    </xf>
    <xf numFmtId="0" fontId="16" fillId="0" borderId="0" xfId="1" applyAlignment="1" applyProtection="1">
      <alignment horizontal="center"/>
      <protection hidden="1"/>
    </xf>
    <xf numFmtId="0" fontId="17" fillId="0" borderId="8" xfId="1" applyFont="1" applyFill="1" applyBorder="1" applyAlignment="1" applyProtection="1">
      <alignment horizontal="center"/>
      <protection hidden="1"/>
    </xf>
    <xf numFmtId="0" fontId="16" fillId="0" borderId="15" xfId="1" applyFill="1" applyBorder="1" applyAlignment="1" applyProtection="1">
      <alignment horizontal="center" vertical="center"/>
      <protection hidden="1"/>
    </xf>
    <xf numFmtId="0" fontId="16" fillId="0" borderId="16" xfId="1" applyFill="1" applyBorder="1" applyAlignment="1" applyProtection="1">
      <alignment horizontal="center" vertical="center"/>
      <protection hidden="1"/>
    </xf>
    <xf numFmtId="0" fontId="16" fillId="0" borderId="13" xfId="1" applyFill="1" applyBorder="1" applyAlignment="1" applyProtection="1">
      <alignment horizontal="center" vertical="center"/>
      <protection hidden="1"/>
    </xf>
    <xf numFmtId="0" fontId="16" fillId="0" borderId="12" xfId="1" applyFill="1" applyBorder="1" applyAlignment="1" applyProtection="1">
      <alignment horizontal="center" vertical="center"/>
      <protection hidden="1"/>
    </xf>
    <xf numFmtId="3" fontId="13" fillId="0" borderId="7" xfId="1" applyNumberFormat="1" applyFont="1" applyFill="1" applyBorder="1" applyAlignment="1" applyProtection="1">
      <alignment horizontal="center" vertical="center"/>
      <protection hidden="1"/>
    </xf>
    <xf numFmtId="3" fontId="13" fillId="0" borderId="19" xfId="1" applyNumberFormat="1" applyFont="1" applyFill="1" applyBorder="1" applyAlignment="1" applyProtection="1">
      <alignment horizontal="center" vertical="center"/>
      <protection hidden="1"/>
    </xf>
    <xf numFmtId="0" fontId="17" fillId="0" borderId="1" xfId="1" applyFont="1" applyFill="1" applyBorder="1" applyAlignment="1" applyProtection="1">
      <alignment horizontal="center"/>
      <protection hidden="1"/>
    </xf>
    <xf numFmtId="0" fontId="16" fillId="0" borderId="15"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1" xfId="1" applyBorder="1" applyAlignment="1" applyProtection="1">
      <alignment horizontal="center"/>
      <protection hidden="1"/>
    </xf>
    <xf numFmtId="170" fontId="16" fillId="6" borderId="1" xfId="1" applyNumberFormat="1" applyFill="1" applyBorder="1" applyAlignment="1" applyProtection="1">
      <alignment horizontal="center"/>
      <protection hidden="1"/>
    </xf>
    <xf numFmtId="0" fontId="17" fillId="0" borderId="6" xfId="1" applyFont="1" applyBorder="1" applyAlignment="1" applyProtection="1">
      <alignment horizontal="center"/>
      <protection hidden="1"/>
    </xf>
    <xf numFmtId="0" fontId="17" fillId="0" borderId="4" xfId="1" applyFont="1" applyBorder="1" applyAlignment="1" applyProtection="1">
      <alignment horizontal="center"/>
      <protection hidden="1"/>
    </xf>
    <xf numFmtId="0" fontId="6" fillId="9" borderId="12" xfId="1" applyFont="1" applyFill="1" applyBorder="1" applyAlignment="1" applyProtection="1">
      <alignment horizontal="center" vertical="center" wrapText="1"/>
      <protection hidden="1"/>
    </xf>
    <xf numFmtId="0" fontId="16" fillId="9" borderId="12" xfId="1" applyFill="1" applyBorder="1" applyAlignment="1" applyProtection="1">
      <alignment horizontal="center" vertical="center" wrapText="1"/>
      <protection hidden="1"/>
    </xf>
    <xf numFmtId="175" fontId="16" fillId="0" borderId="0" xfId="4" applyNumberFormat="1" applyFont="1" applyAlignment="1" applyProtection="1">
      <alignment horizontal="center"/>
      <protection hidden="1"/>
    </xf>
  </cellXfs>
  <cellStyles count="5">
    <cellStyle name="Currency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0"/>
  <tableStyles count="0" defaultTableStyle="TableStyleMedium9" defaultPivotStyle="PivotStyleLight16"/>
  <colors>
    <mruColors>
      <color rgb="FFF7F7A3"/>
      <color rgb="FFD2CCC6"/>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1.000.000 kWh/h from 01 February 2025 to 15 February 2025 on 3B-FIBREGLASS SPRL BATTICE (H-Zone) will cost a total of € 844.951</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515847.4315068493</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301103.42465753434</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28000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1.500.000 kWh/h from 01 February 2025 to 15 March 2025 on a High-calorific gas Distribution Domestic Exit Point will cost a total of € 340.604</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197387.67123287672</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115216.43835616439</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28000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67236</xdr:rowOff>
    </xdr:from>
    <xdr:to>
      <xdr:col>4</xdr:col>
      <xdr:colOff>268942</xdr:colOff>
      <xdr:row>45</xdr:row>
      <xdr:rowOff>145676</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zoomScale="80" zoomScaleNormal="80" workbookViewId="0">
      <selection activeCell="F19" sqref="F19"/>
    </sheetView>
  </sheetViews>
  <sheetFormatPr defaultColWidth="9.140625" defaultRowHeight="15" x14ac:dyDescent="0.25"/>
  <cols>
    <col min="1" max="1" width="5" style="129" customWidth="1"/>
    <col min="2" max="2" width="57.28515625" style="129" customWidth="1"/>
    <col min="3" max="3" width="35.7109375" style="129" customWidth="1"/>
    <col min="4" max="4" width="26.5703125" style="130" customWidth="1"/>
    <col min="5" max="5" width="13" style="130" customWidth="1"/>
    <col min="6" max="6" width="52.42578125" style="129" customWidth="1"/>
    <col min="7" max="7" width="29" style="129" customWidth="1"/>
    <col min="8" max="8" width="18.140625" style="129" customWidth="1"/>
    <col min="9" max="9" width="37.85546875" style="129" customWidth="1"/>
    <col min="10" max="10" width="16.140625" style="129" customWidth="1"/>
    <col min="11" max="11" width="29.7109375" style="129" bestFit="1" customWidth="1"/>
    <col min="12" max="14" width="17.5703125" style="129" customWidth="1"/>
    <col min="15" max="16" width="17.5703125" style="130" customWidth="1"/>
    <col min="17" max="17" width="19.140625" style="129" customWidth="1"/>
    <col min="18" max="18" width="19.42578125" style="130" customWidth="1"/>
    <col min="19" max="19" width="14.42578125" style="129" customWidth="1"/>
    <col min="20" max="16384" width="9.140625" style="129"/>
  </cols>
  <sheetData>
    <row r="1" spans="2:17" ht="82.5" customHeight="1" thickBot="1" x14ac:dyDescent="0.3">
      <c r="B1" s="171" t="s">
        <v>1649</v>
      </c>
      <c r="C1" s="172"/>
      <c r="D1" s="172"/>
      <c r="E1" s="172"/>
      <c r="F1" s="172"/>
      <c r="G1" s="172"/>
      <c r="H1" s="172"/>
      <c r="I1" s="172"/>
      <c r="J1" s="172"/>
      <c r="K1" s="173"/>
    </row>
    <row r="2" spans="2:17" ht="15.75" thickBot="1" x14ac:dyDescent="0.3"/>
    <row r="3" spans="2:17" ht="69" customHeight="1" thickBot="1" x14ac:dyDescent="0.3">
      <c r="B3" s="171" t="s">
        <v>1578</v>
      </c>
      <c r="C3" s="172"/>
      <c r="D3" s="172"/>
      <c r="E3" s="172"/>
      <c r="F3" s="172"/>
      <c r="G3" s="172"/>
      <c r="H3" s="172"/>
      <c r="I3" s="172"/>
      <c r="J3" s="172"/>
      <c r="K3" s="173"/>
    </row>
    <row r="4" spans="2:17" ht="15.75" thickBot="1" x14ac:dyDescent="0.3">
      <c r="B4" s="131"/>
      <c r="C4" s="131"/>
      <c r="D4" s="131"/>
      <c r="E4" s="131"/>
      <c r="F4" s="131"/>
      <c r="G4" s="131"/>
      <c r="H4" s="131"/>
      <c r="I4" s="131"/>
      <c r="J4" s="131"/>
      <c r="K4" s="131"/>
    </row>
    <row r="5" spans="2:17" ht="19.5" thickBot="1" x14ac:dyDescent="0.35">
      <c r="B5" s="175" t="s">
        <v>1012</v>
      </c>
      <c r="C5" s="176"/>
      <c r="D5" s="177"/>
      <c r="E5" s="131"/>
      <c r="F5" s="175" t="s">
        <v>1015</v>
      </c>
      <c r="G5" s="176"/>
      <c r="H5" s="176"/>
      <c r="I5" s="177"/>
      <c r="J5" s="131"/>
      <c r="K5" s="131"/>
    </row>
    <row r="6" spans="2:17" x14ac:dyDescent="0.25">
      <c r="B6" s="131"/>
      <c r="C6" s="131"/>
      <c r="D6" s="131"/>
      <c r="E6" s="131"/>
      <c r="F6" s="131"/>
      <c r="G6" s="131"/>
      <c r="H6" s="131"/>
      <c r="I6" s="131"/>
      <c r="J6" s="131"/>
      <c r="K6" s="131"/>
    </row>
    <row r="7" spans="2:17" s="132" customFormat="1" x14ac:dyDescent="0.25">
      <c r="B7" s="178" t="s">
        <v>978</v>
      </c>
      <c r="C7" s="178"/>
      <c r="D7" s="178"/>
      <c r="F7" s="178" t="s">
        <v>978</v>
      </c>
      <c r="G7" s="178"/>
      <c r="H7" s="178"/>
      <c r="I7" s="178"/>
    </row>
    <row r="8" spans="2:17" s="130" customFormat="1" x14ac:dyDescent="0.25">
      <c r="B8" s="133"/>
    </row>
    <row r="9" spans="2:17" ht="15.75" customHeight="1" x14ac:dyDescent="0.25">
      <c r="B9" s="134" t="s">
        <v>1006</v>
      </c>
      <c r="C9" s="98" t="s">
        <v>979</v>
      </c>
      <c r="D9" s="135"/>
      <c r="E9" s="129"/>
      <c r="F9" s="134" t="s">
        <v>932</v>
      </c>
      <c r="G9" s="102" t="s">
        <v>866</v>
      </c>
      <c r="H9" s="136"/>
      <c r="I9" s="137"/>
      <c r="J9" s="138"/>
      <c r="O9" s="129"/>
      <c r="P9" s="129"/>
    </row>
    <row r="10" spans="2:17" x14ac:dyDescent="0.25">
      <c r="B10" s="139" t="s">
        <v>1016</v>
      </c>
      <c r="C10" s="98">
        <v>1500000</v>
      </c>
      <c r="D10" s="135" t="s">
        <v>3</v>
      </c>
      <c r="E10" s="129"/>
      <c r="F10" s="134" t="s">
        <v>1007</v>
      </c>
      <c r="G10" s="98">
        <v>1000000</v>
      </c>
      <c r="H10" s="135" t="s">
        <v>3</v>
      </c>
      <c r="I10" s="137"/>
      <c r="K10" s="140"/>
      <c r="O10" s="140"/>
      <c r="P10" s="140"/>
    </row>
    <row r="11" spans="2:17" x14ac:dyDescent="0.25">
      <c r="B11" s="134" t="s">
        <v>931</v>
      </c>
      <c r="C11" s="99">
        <v>45689</v>
      </c>
      <c r="D11" s="135"/>
      <c r="E11" s="129"/>
      <c r="F11" s="134" t="s">
        <v>931</v>
      </c>
      <c r="G11" s="103">
        <v>45689</v>
      </c>
      <c r="H11" s="169" t="s">
        <v>1617</v>
      </c>
      <c r="I11" s="141"/>
      <c r="Q11" s="130"/>
    </row>
    <row r="12" spans="2:17" x14ac:dyDescent="0.25">
      <c r="B12" s="134" t="s">
        <v>930</v>
      </c>
      <c r="C12" s="100">
        <v>45731</v>
      </c>
      <c r="D12" s="135"/>
      <c r="E12" s="129"/>
      <c r="F12" s="134" t="s">
        <v>930</v>
      </c>
      <c r="G12" s="104">
        <v>45703</v>
      </c>
      <c r="H12" s="169" t="s">
        <v>1616</v>
      </c>
      <c r="I12" s="142"/>
      <c r="Q12" s="130"/>
    </row>
    <row r="13" spans="2:17" x14ac:dyDescent="0.25">
      <c r="B13" s="139" t="s">
        <v>1017</v>
      </c>
      <c r="C13" s="98">
        <v>1000000</v>
      </c>
      <c r="D13" s="135" t="s">
        <v>5</v>
      </c>
      <c r="E13" s="129"/>
      <c r="F13" s="139" t="s">
        <v>1005</v>
      </c>
      <c r="G13" s="98">
        <v>1000000</v>
      </c>
      <c r="H13" s="135" t="s">
        <v>5</v>
      </c>
      <c r="I13" s="143"/>
      <c r="J13" s="144"/>
      <c r="K13" s="130"/>
    </row>
    <row r="14" spans="2:17" x14ac:dyDescent="0.25">
      <c r="B14" s="139" t="s">
        <v>1004</v>
      </c>
      <c r="C14" s="101">
        <v>35</v>
      </c>
      <c r="D14" s="135" t="s">
        <v>4</v>
      </c>
      <c r="E14" s="129"/>
      <c r="F14" s="139" t="s">
        <v>1004</v>
      </c>
      <c r="G14" s="101">
        <v>35</v>
      </c>
      <c r="H14" s="135" t="s">
        <v>4</v>
      </c>
      <c r="I14" s="143"/>
      <c r="K14" s="130"/>
    </row>
    <row r="15" spans="2:17" x14ac:dyDescent="0.25">
      <c r="E15" s="129"/>
      <c r="H15" s="130"/>
      <c r="I15" s="130"/>
      <c r="K15" s="130"/>
    </row>
    <row r="16" spans="2:17" x14ac:dyDescent="0.25">
      <c r="B16" s="179" t="s">
        <v>1018</v>
      </c>
      <c r="C16" s="180"/>
      <c r="D16" s="181"/>
      <c r="E16" s="129"/>
      <c r="F16" s="174" t="s">
        <v>965</v>
      </c>
      <c r="G16" s="174"/>
      <c r="H16" s="145"/>
    </row>
    <row r="17" spans="2:13" x14ac:dyDescent="0.25">
      <c r="B17" s="182"/>
      <c r="C17" s="183"/>
      <c r="D17" s="184"/>
      <c r="E17" s="129"/>
      <c r="F17" s="134" t="s">
        <v>964</v>
      </c>
      <c r="G17" s="135" t="str">
        <f>IF('Calculations End Users'!$D$36="yes","Yes: you'll have a short term coefficient x5 being added to your tariff as you are booking for a duration of less than a month","No")</f>
        <v>Yes: you'll have a short term coefficient x5 being added to your tariff as you are booking for a duration of less than a month</v>
      </c>
      <c r="H17" s="130"/>
    </row>
    <row r="18" spans="2:13" x14ac:dyDescent="0.25">
      <c r="B18" s="185"/>
      <c r="C18" s="186"/>
      <c r="D18" s="187"/>
      <c r="E18" s="129"/>
      <c r="F18" s="146" t="s">
        <v>966</v>
      </c>
      <c r="G18" s="147" t="str">
        <f>IF(G9="GERRESHEIMER MOMIGNIES","Yes",IF(G9="WIENERBERGER VELDWEZELT","Yes","No"))</f>
        <v>No</v>
      </c>
      <c r="H18" s="130"/>
    </row>
    <row r="19" spans="2:13" x14ac:dyDescent="0.25">
      <c r="D19" s="129"/>
      <c r="E19" s="129"/>
      <c r="H19" s="130"/>
      <c r="I19" s="130"/>
    </row>
    <row r="20" spans="2:13" x14ac:dyDescent="0.25">
      <c r="B20" s="129" t="str">
        <f ca="1">CONCATENATE("This calculation took place on ",TEXT('Calculations End Users'!B16,"dd mmmm yyyy")," using the transmission tariffs applicable for Fluxys Belgium as from January 1st 2024")</f>
        <v>This calculation took place on 30 May 2024 using the transmission tariffs applicable for Fluxys Belgium as from January 1st 2024</v>
      </c>
      <c r="D20" s="129"/>
      <c r="E20" s="129"/>
      <c r="F20" s="143" t="str">
        <f ca="1">CONCATENATE("This calculation took place on ",TEXT('Calculations End Users'!B16,"dd mmmm yyyy")," using the transmission tariffs applicable for Fluxys Belgium as from January 1st 2024.")</f>
        <v>This calculation took place on 30 May 2024 using the transmission tariffs applicable for Fluxys Belgium as from January 1st 2024.</v>
      </c>
      <c r="H20" s="130"/>
      <c r="I20" s="130"/>
    </row>
    <row r="21" spans="2:13" x14ac:dyDescent="0.25">
      <c r="H21" s="148"/>
      <c r="I21" s="148"/>
    </row>
    <row r="22" spans="2:13" s="132" customFormat="1" x14ac:dyDescent="0.25">
      <c r="B22" s="178" t="s">
        <v>929</v>
      </c>
      <c r="C22" s="178"/>
      <c r="D22" s="178"/>
      <c r="F22" s="178" t="s">
        <v>929</v>
      </c>
      <c r="G22" s="178"/>
      <c r="H22" s="178"/>
      <c r="I22" s="178"/>
    </row>
    <row r="23" spans="2:13" x14ac:dyDescent="0.25">
      <c r="B23" s="149"/>
      <c r="H23" s="148"/>
      <c r="I23" s="148"/>
    </row>
    <row r="24" spans="2:13" x14ac:dyDescent="0.25">
      <c r="H24" s="148"/>
      <c r="I24" s="148"/>
    </row>
    <row r="25" spans="2:13" x14ac:dyDescent="0.25">
      <c r="B25" s="149"/>
      <c r="C25" s="149"/>
      <c r="H25" s="148"/>
      <c r="K25" s="174" t="s">
        <v>977</v>
      </c>
      <c r="L25" s="174"/>
      <c r="M25" s="150"/>
    </row>
    <row r="26" spans="2:13" x14ac:dyDescent="0.25">
      <c r="B26" s="151"/>
      <c r="C26" s="151"/>
      <c r="H26" s="148"/>
      <c r="K26" s="152" t="s">
        <v>951</v>
      </c>
      <c r="L26" s="153">
        <f>SUM('Calculations End Users'!M36:M119)</f>
        <v>0</v>
      </c>
      <c r="M26" s="154"/>
    </row>
    <row r="27" spans="2:13" x14ac:dyDescent="0.25">
      <c r="H27" s="148"/>
      <c r="K27" s="155" t="s">
        <v>952</v>
      </c>
      <c r="L27" s="156">
        <f>SUM('Calculations End Users'!N36:N119)-L28</f>
        <v>-15</v>
      </c>
      <c r="M27" s="157"/>
    </row>
    <row r="28" spans="2:13" x14ac:dyDescent="0.25">
      <c r="K28" s="155" t="s">
        <v>953</v>
      </c>
      <c r="L28" s="135">
        <f>IF('Calculations End Users'!E36=5,'Calculations End Users'!B32,0)</f>
        <v>15</v>
      </c>
      <c r="M28" s="158" t="s">
        <v>1009</v>
      </c>
    </row>
    <row r="30" spans="2:13" x14ac:dyDescent="0.25">
      <c r="H30" s="148"/>
    </row>
    <row r="31" spans="2:13" x14ac:dyDescent="0.25">
      <c r="H31" s="148"/>
    </row>
    <row r="32" spans="2:13" x14ac:dyDescent="0.25">
      <c r="H32" s="148"/>
    </row>
    <row r="33" spans="8:9" x14ac:dyDescent="0.25">
      <c r="H33" s="148"/>
    </row>
    <row r="34" spans="8:9" x14ac:dyDescent="0.25">
      <c r="H34" s="148"/>
    </row>
    <row r="35" spans="8:9" x14ac:dyDescent="0.25">
      <c r="H35" s="148"/>
    </row>
    <row r="36" spans="8:9" x14ac:dyDescent="0.25">
      <c r="H36" s="148"/>
      <c r="I36" s="148"/>
    </row>
    <row r="37" spans="8:9" x14ac:dyDescent="0.25">
      <c r="H37" s="148"/>
      <c r="I37" s="148"/>
    </row>
    <row r="38" spans="8:9" x14ac:dyDescent="0.25">
      <c r="H38" s="148"/>
      <c r="I38" s="148"/>
    </row>
    <row r="39" spans="8:9" x14ac:dyDescent="0.25">
      <c r="H39" s="148"/>
      <c r="I39" s="148"/>
    </row>
    <row r="40" spans="8:9" x14ac:dyDescent="0.25">
      <c r="H40" s="148"/>
      <c r="I40" s="148"/>
    </row>
    <row r="41" spans="8:9" x14ac:dyDescent="0.25">
      <c r="H41" s="148"/>
      <c r="I41" s="148"/>
    </row>
    <row r="42" spans="8:9" x14ac:dyDescent="0.25">
      <c r="H42" s="148"/>
      <c r="I42" s="148"/>
    </row>
    <row r="43" spans="8:9" x14ac:dyDescent="0.25">
      <c r="H43" s="148"/>
      <c r="I43" s="148"/>
    </row>
    <row r="177" spans="3:3" x14ac:dyDescent="0.25">
      <c r="C177" s="137"/>
    </row>
  </sheetData>
  <sheetProtection algorithmName="SHA-512" hashValue="Wqsvbu1BzeaXy1emqr7pjUDk6p8QzdMKHIj9psCakHB32preZrAN0hgQcH9abkijuEfSzi01OTNRhChd9l09dQ==" saltValue="NTOGPRYABJHn4xBJzWgisQ==" spinCount="100000" sheet="1"/>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E3E9AC0-67B8-4D8D-BE26-5F744D990111}">
          <x14:formula1>
            <xm:f>Parameters!$A$3:$A$4</xm:f>
          </x14:formula1>
          <xm:sqref>C9</xm:sqref>
        </x14:dataValidation>
        <x14:dataValidation type="list" allowBlank="1" showInputMessage="1" showErrorMessage="1" xr:uid="{00000000-0002-0000-0000-000000000000}">
          <x14:formula1>
            <xm:f>'Industr. Clients + Power Plants'!$A$2:$A$229</xm:f>
          </x14:formula1>
          <xm:sqref>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47"/>
  <sheetViews>
    <sheetView zoomScale="70" zoomScaleNormal="70" workbookViewId="0">
      <selection activeCell="F29" sqref="F29"/>
    </sheetView>
  </sheetViews>
  <sheetFormatPr defaultColWidth="22.28515625" defaultRowHeight="12.75" x14ac:dyDescent="0.2"/>
  <cols>
    <col min="1" max="1" width="38.7109375" style="63" customWidth="1"/>
    <col min="2" max="2" width="30.5703125" style="63" customWidth="1"/>
    <col min="3" max="3" width="22.28515625" style="63"/>
    <col min="4" max="4" width="27.5703125" style="63" customWidth="1"/>
    <col min="5" max="5" width="22.28515625" style="63"/>
    <col min="6" max="6" width="30.140625" style="63" bestFit="1" customWidth="1"/>
    <col min="7" max="8" width="22.28515625" style="63"/>
    <col min="9" max="9" width="30" style="63" customWidth="1"/>
    <col min="10" max="16384" width="22.28515625" style="63"/>
  </cols>
  <sheetData>
    <row r="1" spans="1:15" s="1" customFormat="1" ht="15" x14ac:dyDescent="0.25">
      <c r="A1" s="1" t="s">
        <v>1013</v>
      </c>
    </row>
    <row r="2" spans="1:15" s="2" customFormat="1" ht="15" x14ac:dyDescent="0.25">
      <c r="C2" s="97"/>
      <c r="D2" s="3"/>
      <c r="N2" s="3"/>
      <c r="O2" s="3"/>
    </row>
    <row r="3" spans="1:15" s="2" customFormat="1" ht="15" x14ac:dyDescent="0.25">
      <c r="A3" s="188" t="s">
        <v>973</v>
      </c>
      <c r="B3" s="188"/>
      <c r="C3" s="3"/>
      <c r="N3" s="3"/>
      <c r="O3" s="3"/>
    </row>
    <row r="4" spans="1:15" s="2" customFormat="1" ht="15" x14ac:dyDescent="0.25">
      <c r="A4" s="16" t="str">
        <f>IF(E19="yes",D22,A19)</f>
        <v>High Pressure</v>
      </c>
      <c r="B4" s="85">
        <f>IF(E19="yes",E22,B19)</f>
        <v>197387.67123287672</v>
      </c>
      <c r="C4" s="3"/>
      <c r="N4" s="3"/>
      <c r="O4" s="3"/>
    </row>
    <row r="5" spans="1:15" s="2" customFormat="1" ht="15" x14ac:dyDescent="0.25">
      <c r="A5" s="8" t="str">
        <f>IF(E19="yes",D23,A20)</f>
        <v>Pressure Service</v>
      </c>
      <c r="B5" s="85">
        <f>IF(E19="yes",E23,B20)</f>
        <v>115216.43835616439</v>
      </c>
      <c r="C5" s="3"/>
      <c r="N5" s="3"/>
      <c r="O5" s="3"/>
    </row>
    <row r="6" spans="1:15" s="2" customFormat="1" ht="15" x14ac:dyDescent="0.25">
      <c r="A6" s="16" t="str">
        <f>A21</f>
        <v xml:space="preserve">Energy in Cash </v>
      </c>
      <c r="B6" s="86">
        <f>B21</f>
        <v>28000</v>
      </c>
      <c r="C6" s="3"/>
      <c r="N6" s="3"/>
      <c r="O6" s="3"/>
    </row>
    <row r="7" spans="1:15" s="2" customFormat="1" ht="15" x14ac:dyDescent="0.25">
      <c r="A7" s="8" t="s">
        <v>920</v>
      </c>
      <c r="B7" s="83">
        <f>SUM(B4:B6)</f>
        <v>340604.10958904109</v>
      </c>
      <c r="C7" s="3"/>
      <c r="N7" s="3"/>
      <c r="O7" s="3"/>
    </row>
    <row r="8" spans="1:15" s="2" customFormat="1" ht="15" x14ac:dyDescent="0.25">
      <c r="C8" s="3"/>
      <c r="N8" s="3"/>
      <c r="O8" s="3"/>
    </row>
    <row r="9" spans="1:15" s="2" customFormat="1" ht="15" x14ac:dyDescent="0.25">
      <c r="A9" s="189" t="s">
        <v>917</v>
      </c>
      <c r="B9" s="190"/>
      <c r="C9" s="191"/>
      <c r="N9" s="3"/>
      <c r="O9" s="3"/>
    </row>
    <row r="10" spans="1:15" s="2" customFormat="1" ht="15" x14ac:dyDescent="0.25">
      <c r="A10" s="8"/>
      <c r="B10" s="18" t="s">
        <v>916</v>
      </c>
      <c r="C10" s="16" t="s">
        <v>1</v>
      </c>
      <c r="N10" s="3"/>
      <c r="O10" s="3"/>
    </row>
    <row r="11" spans="1:15" s="2" customFormat="1" ht="15" x14ac:dyDescent="0.25">
      <c r="A11" s="8" t="s">
        <v>872</v>
      </c>
      <c r="B11" s="20">
        <f>IF($B$24="H-zone",Parameters!B8,Parameters!B14)</f>
        <v>1.117</v>
      </c>
      <c r="C11" s="9" t="s">
        <v>915</v>
      </c>
      <c r="N11" s="3"/>
      <c r="O11" s="3"/>
    </row>
    <row r="12" spans="1:15" s="2" customFormat="1" ht="15" x14ac:dyDescent="0.25">
      <c r="A12" s="8" t="s">
        <v>1023</v>
      </c>
      <c r="B12" s="20">
        <f>IF($B$24="H-zone",Parameters!B9,Parameters!B15)</f>
        <v>0.65200000000000002</v>
      </c>
      <c r="C12" s="9" t="s">
        <v>915</v>
      </c>
      <c r="N12" s="3"/>
      <c r="O12" s="3"/>
    </row>
    <row r="13" spans="1:15" s="2" customFormat="1" ht="15" x14ac:dyDescent="0.25">
      <c r="C13" s="3"/>
      <c r="N13" s="3"/>
      <c r="O13" s="3"/>
    </row>
    <row r="14" spans="1:15" s="2" customFormat="1" ht="15" x14ac:dyDescent="0.25">
      <c r="A14" s="6" t="s">
        <v>954</v>
      </c>
      <c r="B14" s="7">
        <f ca="1">TODAY()</f>
        <v>45442</v>
      </c>
      <c r="C14" s="3"/>
      <c r="H14" s="62"/>
      <c r="I14" s="5"/>
      <c r="N14" s="3"/>
      <c r="O14" s="3"/>
    </row>
    <row r="15" spans="1:15" s="2" customFormat="1" ht="15" x14ac:dyDescent="0.25">
      <c r="A15" s="192"/>
      <c r="B15" s="192"/>
      <c r="C15" s="3"/>
      <c r="D15" s="25"/>
      <c r="E15" s="21"/>
      <c r="F15" s="21"/>
      <c r="I15" s="5"/>
      <c r="N15" s="3"/>
      <c r="O15" s="3"/>
    </row>
    <row r="16" spans="1:15" s="2" customFormat="1" ht="15" x14ac:dyDescent="0.25">
      <c r="A16" s="31" t="s">
        <v>1010</v>
      </c>
      <c r="B16" s="20" t="str">
        <f>CONCATENATE("Being allocated"," ",TEXT(Simulation!C10,"###.###")," ",Simulation!H10," ","from"," ",TEXT(Simulation!C11,"dd mmmm yyyy")," ","to"," ",TEXT(Simulation!C12,"dd mmmm yyyy")," on a ",Simulation!C9," Distribution Domestic Exit Point"," will cost a total of ",TEXT(B7,"€ ###.###"))</f>
        <v>Being allocated 1.500.000 kWh/h from 01 February 2025 to 15 March 2025 on a High-calorific gas Distribution Domestic Exit Point will cost a total of € 340.604</v>
      </c>
      <c r="C16" s="3"/>
      <c r="D16" s="25"/>
      <c r="E16" s="21"/>
      <c r="F16" s="21"/>
      <c r="I16" s="5"/>
      <c r="N16" s="3"/>
      <c r="O16" s="3"/>
    </row>
    <row r="17" spans="1:18" s="2" customFormat="1" ht="15" x14ac:dyDescent="0.25">
      <c r="C17" s="3"/>
      <c r="D17" s="25"/>
      <c r="E17" s="21"/>
      <c r="F17" s="21"/>
      <c r="I17" s="5"/>
      <c r="N17" s="3"/>
      <c r="O17" s="3"/>
    </row>
    <row r="18" spans="1:18" s="2" customFormat="1" ht="15" x14ac:dyDescent="0.25">
      <c r="A18" s="188" t="s">
        <v>935</v>
      </c>
      <c r="B18" s="188"/>
      <c r="C18" s="3"/>
      <c r="D18" s="23"/>
      <c r="E18" s="23"/>
      <c r="F18" s="92"/>
      <c r="I18" s="5"/>
      <c r="N18" s="3"/>
      <c r="O18" s="3"/>
    </row>
    <row r="19" spans="1:18" s="2" customFormat="1" ht="15" x14ac:dyDescent="0.25">
      <c r="A19" s="10" t="s">
        <v>918</v>
      </c>
      <c r="B19" s="11">
        <f>SUM(O33:O131)</f>
        <v>197387.67123287672</v>
      </c>
      <c r="C19" s="3"/>
      <c r="D19" s="93"/>
      <c r="E19" s="21"/>
      <c r="F19" s="21"/>
      <c r="I19" s="5"/>
      <c r="N19" s="3"/>
      <c r="O19" s="3"/>
    </row>
    <row r="20" spans="1:18" s="2" customFormat="1" ht="15" x14ac:dyDescent="0.25">
      <c r="A20" s="36" t="s">
        <v>1022</v>
      </c>
      <c r="B20" s="11">
        <f>SUM(P33:P131)</f>
        <v>115216.43835616439</v>
      </c>
      <c r="C20" s="3"/>
      <c r="D20" s="94"/>
      <c r="E20" s="95"/>
      <c r="F20" s="92"/>
      <c r="I20" s="5"/>
      <c r="N20" s="3"/>
      <c r="O20" s="3"/>
    </row>
    <row r="21" spans="1:18" s="2" customFormat="1" ht="15" x14ac:dyDescent="0.25">
      <c r="A21" s="8" t="s">
        <v>933</v>
      </c>
      <c r="B21" s="11">
        <f>(Parameters!B18/100)*Simulation!C13*Simulation!C14</f>
        <v>28000</v>
      </c>
      <c r="C21" s="3"/>
      <c r="D21" s="94"/>
      <c r="E21" s="96"/>
      <c r="F21" s="92"/>
      <c r="I21" s="5"/>
      <c r="N21" s="3"/>
      <c r="O21" s="3"/>
    </row>
    <row r="22" spans="1:18" s="2" customFormat="1" ht="15" x14ac:dyDescent="0.25">
      <c r="A22" s="8" t="s">
        <v>920</v>
      </c>
      <c r="B22" s="14">
        <f>SUM(B19:B21)</f>
        <v>340604.10958904109</v>
      </c>
      <c r="D22" s="93"/>
      <c r="E22" s="82"/>
      <c r="F22" s="93"/>
      <c r="I22" s="5"/>
      <c r="N22" s="3"/>
      <c r="O22" s="3"/>
    </row>
    <row r="23" spans="1:18" s="2" customFormat="1" ht="15" x14ac:dyDescent="0.25">
      <c r="C23" s="3"/>
      <c r="D23" s="93"/>
      <c r="E23" s="82"/>
      <c r="F23" s="93"/>
      <c r="H23" s="15"/>
      <c r="I23" s="5"/>
      <c r="N23" s="3"/>
      <c r="O23" s="3"/>
    </row>
    <row r="24" spans="1:18" s="2" customFormat="1" ht="15" x14ac:dyDescent="0.25">
      <c r="A24" s="16" t="s">
        <v>919</v>
      </c>
      <c r="B24" s="17" t="str">
        <f>IF(Simulation!C9="High-calorific gas","H-zone","L-zone")</f>
        <v>H-zone</v>
      </c>
      <c r="C24" s="3"/>
      <c r="D24" s="81"/>
      <c r="E24" s="82"/>
      <c r="F24" s="21"/>
      <c r="H24" s="19"/>
      <c r="I24" s="5"/>
      <c r="N24" s="3"/>
      <c r="O24" s="3"/>
    </row>
    <row r="25" spans="1:18" s="2" customFormat="1" ht="15" x14ac:dyDescent="0.25">
      <c r="A25" s="10" t="s">
        <v>918</v>
      </c>
      <c r="B25" s="9">
        <v>1</v>
      </c>
      <c r="C25" s="3"/>
      <c r="H25" s="21"/>
      <c r="I25" s="5"/>
      <c r="N25" s="3"/>
      <c r="O25" s="3"/>
    </row>
    <row r="26" spans="1:18" s="2" customFormat="1" ht="15" x14ac:dyDescent="0.25">
      <c r="A26" s="36" t="s">
        <v>1022</v>
      </c>
      <c r="B26" s="9">
        <v>1</v>
      </c>
      <c r="C26" s="3"/>
      <c r="H26" s="21"/>
      <c r="I26" s="5"/>
      <c r="N26" s="3"/>
      <c r="O26" s="3"/>
    </row>
    <row r="27" spans="1:18" s="2" customFormat="1" ht="15" x14ac:dyDescent="0.25">
      <c r="A27" s="10" t="s">
        <v>871</v>
      </c>
      <c r="B27" s="9">
        <v>0</v>
      </c>
      <c r="C27" s="3"/>
      <c r="D27" s="3"/>
      <c r="H27" s="25"/>
      <c r="I27" s="24"/>
      <c r="J27" s="26"/>
      <c r="N27" s="3"/>
      <c r="O27" s="3"/>
    </row>
    <row r="28" spans="1:18" s="2" customFormat="1" ht="15" x14ac:dyDescent="0.25">
      <c r="C28" s="3"/>
      <c r="D28" s="3"/>
      <c r="H28" s="27"/>
      <c r="I28" s="22"/>
      <c r="J28" s="27"/>
      <c r="N28" s="3"/>
      <c r="O28" s="3"/>
    </row>
    <row r="29" spans="1:18" s="2" customFormat="1" ht="15" x14ac:dyDescent="0.25">
      <c r="A29" s="16" t="s">
        <v>913</v>
      </c>
      <c r="B29" s="9">
        <f>Simulation!G12-Simulation!G11+1</f>
        <v>15</v>
      </c>
      <c r="C29" s="25"/>
      <c r="D29" s="25"/>
      <c r="G29" s="28"/>
      <c r="H29" s="28"/>
      <c r="I29" s="5"/>
      <c r="N29" s="3"/>
      <c r="O29" s="3"/>
    </row>
    <row r="30" spans="1:18" s="2" customFormat="1" ht="15" x14ac:dyDescent="0.25">
      <c r="A30" s="19"/>
      <c r="B30" s="21"/>
      <c r="C30" s="25"/>
      <c r="D30" s="25"/>
      <c r="G30" s="29"/>
      <c r="H30" s="29"/>
      <c r="I30" s="30"/>
      <c r="N30" s="3"/>
      <c r="O30" s="3"/>
    </row>
    <row r="31" spans="1:18" s="21" customFormat="1" ht="15" x14ac:dyDescent="0.25">
      <c r="A31" s="31"/>
      <c r="B31" s="32"/>
      <c r="C31" s="25"/>
      <c r="D31" s="193"/>
      <c r="E31" s="193"/>
      <c r="F31" s="33"/>
      <c r="I31" s="34"/>
      <c r="M31" s="35"/>
      <c r="N31" s="35"/>
      <c r="O31" s="25"/>
    </row>
    <row r="32" spans="1:18" s="27" customFormat="1" ht="15" x14ac:dyDescent="0.25">
      <c r="A32" s="16" t="s">
        <v>912</v>
      </c>
      <c r="B32" s="16" t="s">
        <v>911</v>
      </c>
      <c r="C32" s="16" t="s">
        <v>910</v>
      </c>
      <c r="D32" s="36" t="s">
        <v>909</v>
      </c>
      <c r="E32" s="36" t="s">
        <v>908</v>
      </c>
      <c r="F32" s="8" t="s">
        <v>1014</v>
      </c>
      <c r="G32" s="8" t="s">
        <v>939</v>
      </c>
      <c r="H32" s="8" t="s">
        <v>947</v>
      </c>
      <c r="I32" s="8" t="s">
        <v>942</v>
      </c>
      <c r="J32" s="8" t="s">
        <v>948</v>
      </c>
      <c r="K32" s="8" t="s">
        <v>949</v>
      </c>
      <c r="L32" s="13" t="s">
        <v>950</v>
      </c>
      <c r="M32" s="13" t="s">
        <v>940</v>
      </c>
      <c r="N32" s="8" t="s">
        <v>941</v>
      </c>
      <c r="O32" s="36" t="s">
        <v>907</v>
      </c>
      <c r="P32" s="36" t="s">
        <v>1577</v>
      </c>
      <c r="Q32" s="16" t="s">
        <v>975</v>
      </c>
      <c r="R32" s="16" t="s">
        <v>957</v>
      </c>
    </row>
    <row r="33" spans="1:18" s="2" customFormat="1" ht="15" x14ac:dyDescent="0.25">
      <c r="A33" s="37">
        <v>43101</v>
      </c>
      <c r="B33" s="38">
        <v>43101</v>
      </c>
      <c r="C33" s="39">
        <f>MAX(0,MIN(EOMONTH(B33,0),Simulation!$C$12)-MAX(B33,Simulation!$C$11)+1)</f>
        <v>0</v>
      </c>
      <c r="D33" s="196" t="str">
        <f>IF(B131=2,IF(B29&gt;=28,"no","yes"),IF(OR(B131=4,B131=6,B131=9,B131=11),IF(B29&gt;=30,"No","yes"),IF(B29&gt;=31,"No","Yes")))</f>
        <v>yes</v>
      </c>
      <c r="E33" s="194">
        <v>1</v>
      </c>
      <c r="F33" s="39">
        <v>1</v>
      </c>
      <c r="G33" s="40">
        <f t="shared" ref="G33:G96" si="0">DAY(EOMONTH(A33,0))</f>
        <v>31</v>
      </c>
      <c r="H33" s="198">
        <f>IF(Simulation!$C$12&gt;=$B$133,IF(Simulation!$C$12&gt;=$B$134,IF(Simulation!$C$12&gt;=$B$135,IF(Simulation!$C$12=$B$136,4,3),2),1),0)</f>
        <v>0</v>
      </c>
      <c r="I33" s="41">
        <f>IF(Simulation!$C$12&gt;=$B$133,IF(AND(YEAR(Simulation!$C$11)=YEAR(A33),MONTH(A33)=MONTH(Simulation!$C$11)),1,0),0)</f>
        <v>0</v>
      </c>
      <c r="J33" s="42">
        <f>IF($H$33=0,0,IF($H$33=1,SUM(I22:I33),IF($H$33=2,SUM(I14:I33),IF($H$33=3,SUM(I14:I33),IF($H$33=4,SUM(I14:I33),"more than 4 years")))))</f>
        <v>0</v>
      </c>
      <c r="K33" s="43" t="str">
        <f t="shared" ref="K33:K96" si="1">IF((M33+N33)&lt;&gt;C33,"issue","ok")</f>
        <v>ok</v>
      </c>
      <c r="L33" s="43">
        <f>IF(J33=1,IF(J34=0,IF(DAY(Simulation!$C$11)=1,0,DAY(Simulation!$C$11)-1),0),0)</f>
        <v>0</v>
      </c>
      <c r="M33" s="40">
        <f>IF(AND(J32=1,J33=1,J34=0,DAY(Simulation!$C$11)=1),0,IF(J33=1,IF(L33&lt;&gt;0,L33,C33),0))</f>
        <v>0</v>
      </c>
      <c r="N33" s="44">
        <f t="shared" ref="N33:N96" si="2">MAX(0,C33-M33)</f>
        <v>0</v>
      </c>
      <c r="O33" s="45">
        <f>IF($E$33=5,(($B$25*$B$11)/365)*$C33*$E$33*$F33*Simulation!$C$10,((($B$25*$B$11)/365)*$M33*Simulation!$C$10)+(($B$25*$B$11)/365)*$N33*$F33*Simulation!$C$10)</f>
        <v>0</v>
      </c>
      <c r="P33" s="46">
        <f>IF($E$33=5,(($B$26*$B$12)/365)*$C33*$E$33*$F33*Simulation!$C$10,((($B$26*$B$12)/365)*$M33*Simulation!$C$10)+(($B$26*$B$12)/365)*$N33*$F33*Simulation!$C$10)</f>
        <v>0</v>
      </c>
      <c r="Q33" s="79">
        <f>IF($E$33=5,($E$20/365)*$C33*$E$33*$F33*Simulation!$C$10,(($E$20/365)*$M33*Simulation!$C$10)+($E$20/365)*$N33*$F33*Simulation!$C$10)</f>
        <v>0</v>
      </c>
      <c r="R33" s="79" t="e">
        <f>IF($E$33=5,($E$21*#REF!/365)*$C33*$E$33*$F33*Simulation!$C$10,(($E$21*#REF!/365)*$M33*Simulation!$C$10)+($E$21*#REF!/365)*$N33*$F33*Simulation!$C$10)</f>
        <v>#REF!</v>
      </c>
    </row>
    <row r="34" spans="1:18" s="2" customFormat="1" ht="15" x14ac:dyDescent="0.25">
      <c r="A34" s="37">
        <v>43132</v>
      </c>
      <c r="B34" s="38">
        <v>43132</v>
      </c>
      <c r="C34" s="39">
        <f>MAX(0,MIN(EOMONTH(B34,0),Simulation!$C$12)-MAX(B34,Simulation!$C$11)+1)</f>
        <v>0</v>
      </c>
      <c r="D34" s="197"/>
      <c r="E34" s="195"/>
      <c r="F34" s="39">
        <v>1</v>
      </c>
      <c r="G34" s="40">
        <f t="shared" si="0"/>
        <v>28</v>
      </c>
      <c r="H34" s="199"/>
      <c r="I34" s="41">
        <f>IF(Simulation!$C$12&gt;=$B$133,IF(AND(YEAR(Simulation!$C$11)=YEAR(A34),MONTH(A34)=MONTH(Simulation!$C$11)),1,0),0)</f>
        <v>0</v>
      </c>
      <c r="J34" s="42">
        <f>IF($H$33=0,0,IF($H$33=1,SUM(I23:I34),IF($H$33=2,SUM(I15:I34),IF($H$33=3,SUM(I14:I34),IF($H$33=4,SUM(I14:I34),"more than 4 years")))))</f>
        <v>0</v>
      </c>
      <c r="K34" s="43" t="str">
        <f t="shared" si="1"/>
        <v>ok</v>
      </c>
      <c r="L34" s="43">
        <f>IF(J34=1,IF(J35=0,IF(DAY(Simulation!$C$11)=1,0,DAY(Simulation!$C$11)-1),0),0)</f>
        <v>0</v>
      </c>
      <c r="M34" s="40">
        <f>IF(AND(J33=1,J34=1,J35=0,DAY(Simulation!$C$11)=1),0,IF(J34=1,IF(L34&lt;&gt;0,L34,C34),0))</f>
        <v>0</v>
      </c>
      <c r="N34" s="44">
        <f t="shared" si="2"/>
        <v>0</v>
      </c>
      <c r="O34" s="45">
        <f>IF($E$33=5,(($B$25*$B$11)/365)*$C34*$E$33*$F34*Simulation!$C$10,((($B$25*$B$11)/365)*$M34*Simulation!$C$10)+(($B$25*$B$11)/365)*$N34*$F34*Simulation!$C$10)</f>
        <v>0</v>
      </c>
      <c r="P34" s="46">
        <f>IF($E$33=5,(($B$26*$B$12)/365)*$C34*$E$33*$F34*Simulation!$C$10,((($B$26*$B$12)/365)*$M34*Simulation!$C$10)+(($B$26*$B$12)/365)*$N34*$F34*Simulation!$C$10)</f>
        <v>0</v>
      </c>
      <c r="Q34" s="79">
        <f>IF($E$33=5,($E$20/365)*$C34*$E$33*$F34*Simulation!$C$10,(($E$20/365)*$M34*Simulation!$C$10)+($E$20/365)*$N34*$F34*Simulation!$C$10)</f>
        <v>0</v>
      </c>
      <c r="R34" s="79" t="e">
        <f>IF($E$33=5,($E$21*#REF!/365)*$C34*$E$33*$F34*Simulation!$C$10,(($E$21*#REF!/365)*$M34*Simulation!$C$10)+($E$21*#REF!/365)*$N34*$F34*Simulation!$C$10)</f>
        <v>#REF!</v>
      </c>
    </row>
    <row r="35" spans="1:18" s="2" customFormat="1" ht="15" x14ac:dyDescent="0.25">
      <c r="A35" s="37">
        <v>43160</v>
      </c>
      <c r="B35" s="38">
        <v>43160</v>
      </c>
      <c r="C35" s="39">
        <f>MAX(0,MIN(EOMONTH(B35,0),Simulation!$C$12)-MAX(B35,Simulation!$C$11)+1)</f>
        <v>0</v>
      </c>
      <c r="D35" s="197"/>
      <c r="E35" s="195"/>
      <c r="F35" s="39">
        <v>1</v>
      </c>
      <c r="G35" s="40">
        <f t="shared" si="0"/>
        <v>31</v>
      </c>
      <c r="H35" s="199"/>
      <c r="I35" s="41">
        <f>IF(Simulation!$C$12&gt;=$B$133,IF(AND(YEAR(Simulation!$C$11)=YEAR(A35),MONTH(A35)=MONTH(Simulation!$C$11)),1,0),0)</f>
        <v>0</v>
      </c>
      <c r="J35" s="42">
        <f>IF($H$33=0,0,IF($H$33=1,SUM(I24:I35),IF($H$33=2,SUM(I15:I35),IF($H$33=3,SUM(I14:I35),IF($H$33=4,SUM(I14:I35),"more than 4 years")))))</f>
        <v>0</v>
      </c>
      <c r="K35" s="43" t="str">
        <f t="shared" si="1"/>
        <v>ok</v>
      </c>
      <c r="L35" s="43">
        <f>IF(J35=1,IF(J36=0,IF(DAY(Simulation!$C$11)=1,0,DAY(Simulation!$C$11)-1),0),0)</f>
        <v>0</v>
      </c>
      <c r="M35" s="40">
        <f>IF(AND(J34=1,J35=1,J36=0,DAY(Simulation!$C$11)=1),0,IF(J35=1,IF(L35&lt;&gt;0,L35,C35),0))</f>
        <v>0</v>
      </c>
      <c r="N35" s="44">
        <f t="shared" si="2"/>
        <v>0</v>
      </c>
      <c r="O35" s="45">
        <f>IF($E$33=5,(($B$25*$B$11)/365)*$C35*$E$33*$F35*Simulation!$C$10,((($B$25*$B$11)/365)*$M35*Simulation!$C$10)+(($B$25*$B$11)/365)*$N35*$F35*Simulation!$C$10)</f>
        <v>0</v>
      </c>
      <c r="P35" s="46">
        <f>IF($E$33=5,(($B$26*$B$12)/365)*$C35*$E$33*$F35*Simulation!$C$10,((($B$26*$B$12)/365)*$M35*Simulation!$C$10)+(($B$26*$B$12)/365)*$N35*$F35*Simulation!$C$10)</f>
        <v>0</v>
      </c>
      <c r="Q35" s="79">
        <f>IF($E$33=5,($E$20/365)*$C35*$E$33*$F35*Simulation!$C$10,(($E$20/365)*$M35*Simulation!$C$10)+($E$20/365)*$N35*$F35*Simulation!$C$10)</f>
        <v>0</v>
      </c>
      <c r="R35" s="79" t="e">
        <f>IF($E$33=5,($E$21*#REF!/365)*$C35*$E$33*$F35*Simulation!$C$10,(($E$21*#REF!/365)*$M35*Simulation!$C$10)+($E$21*#REF!/365)*$N35*$F35*Simulation!$C$10)</f>
        <v>#REF!</v>
      </c>
    </row>
    <row r="36" spans="1:18" s="2" customFormat="1" ht="15" x14ac:dyDescent="0.25">
      <c r="A36" s="37">
        <v>43191</v>
      </c>
      <c r="B36" s="38">
        <v>43191</v>
      </c>
      <c r="C36" s="39">
        <f>MAX(0,MIN(EOMONTH(B36,0),Simulation!$C$12)-MAX(B36,Simulation!$C$11)+1)</f>
        <v>0</v>
      </c>
      <c r="D36" s="197"/>
      <c r="E36" s="195"/>
      <c r="F36" s="39">
        <v>1</v>
      </c>
      <c r="G36" s="40">
        <f t="shared" si="0"/>
        <v>30</v>
      </c>
      <c r="H36" s="199"/>
      <c r="I36" s="41">
        <f>IF(Simulation!$C$12&gt;=$B$133,IF(AND(YEAR(Simulation!$C$11)=YEAR(A36),MONTH(A36)=MONTH(Simulation!$C$11)),1,0),0)</f>
        <v>0</v>
      </c>
      <c r="J36" s="42">
        <f>IF($H$33=0,0,IF($H$33=1,SUM(I25:I36),IF($H$33=2,SUM(I15:I36),IF($H$33=3,SUM(I14:I36),IF($H$33=4,SUM(I14:I36),"more than 4 years")))))</f>
        <v>0</v>
      </c>
      <c r="K36" s="43" t="str">
        <f t="shared" si="1"/>
        <v>ok</v>
      </c>
      <c r="L36" s="43">
        <f>IF(J36=1,IF(J37=0,IF(DAY(Simulation!$C$11)=1,0,DAY(Simulation!$C$11)-1),0),0)</f>
        <v>0</v>
      </c>
      <c r="M36" s="40">
        <f>IF(AND(J35=1,J36=1,J37=0,DAY(Simulation!$C$11)=1),0,IF(J36=1,IF(L36&lt;&gt;0,L36,C36),0))</f>
        <v>0</v>
      </c>
      <c r="N36" s="44">
        <f t="shared" si="2"/>
        <v>0</v>
      </c>
      <c r="O36" s="45">
        <f>IF($E$33=5,(($B$25*$B$11)/365)*$C36*$E$33*$F36*Simulation!$C$10,((($B$25*$B$11)/365)*$M36*Simulation!$C$10)+(($B$25*$B$11)/365)*$N36*$F36*Simulation!$C$10)</f>
        <v>0</v>
      </c>
      <c r="P36" s="46">
        <f>IF($E$33=5,(($B$26*$B$12)/365)*$C36*$E$33*$F36*Simulation!$C$10,((($B$26*$B$12)/365)*$M36*Simulation!$C$10)+(($B$26*$B$12)/365)*$N36*$F36*Simulation!$C$10)</f>
        <v>0</v>
      </c>
      <c r="Q36" s="79">
        <f>IF($E$33=5,($E$20/365)*$C36*$E$33*$F36*Simulation!$C$10,(($E$20/365)*$M36*Simulation!$C$10)+($E$20/365)*$N36*$F36*Simulation!$C$10)</f>
        <v>0</v>
      </c>
      <c r="R36" s="79" t="e">
        <f>IF($E$33=5,($E$21*#REF!/365)*$C36*$E$33*$F36*Simulation!$C$10,(($E$21*#REF!/365)*$M36*Simulation!$C$10)+($E$21*#REF!/365)*$N36*$F36*Simulation!$C$10)</f>
        <v>#REF!</v>
      </c>
    </row>
    <row r="37" spans="1:18" s="2" customFormat="1" ht="15" x14ac:dyDescent="0.25">
      <c r="A37" s="37">
        <v>43221</v>
      </c>
      <c r="B37" s="38">
        <v>43221</v>
      </c>
      <c r="C37" s="39">
        <f>MAX(0,MIN(EOMONTH(B37,0),Simulation!$C$12)-MAX(B37,Simulation!$C$11)+1)</f>
        <v>0</v>
      </c>
      <c r="D37" s="197"/>
      <c r="E37" s="195"/>
      <c r="F37" s="39">
        <v>1</v>
      </c>
      <c r="G37" s="40">
        <f t="shared" si="0"/>
        <v>31</v>
      </c>
      <c r="H37" s="199"/>
      <c r="I37" s="41">
        <f>IF(Simulation!$C$12&gt;=$B$133,IF(AND(YEAR(Simulation!$C$11)=YEAR(A37),MONTH(A37)=MONTH(Simulation!$C$11)),1,0),0)</f>
        <v>0</v>
      </c>
      <c r="J37" s="42">
        <f>IF($H$33=0,0,IF($H$33=1,SUM(I27:I37),IF($H$33=2,SUM(I16:I37),IF($H$33=3,SUM(I14:I37),IF($H$33=4,SUM(I14:I37),"more than 4 years")))))</f>
        <v>0</v>
      </c>
      <c r="K37" s="43" t="str">
        <f t="shared" si="1"/>
        <v>ok</v>
      </c>
      <c r="L37" s="43">
        <f>IF(J37=1,IF(J38=0,IF(DAY(Simulation!$C$11)=1,0,DAY(Simulation!$C$11)-1),0),0)</f>
        <v>0</v>
      </c>
      <c r="M37" s="40">
        <f>IF(AND(J36=1,J37=1,J38=0,DAY(Simulation!$C$11)=1),0,IF(J37=1,IF(L37&lt;&gt;0,L37,C37),0))</f>
        <v>0</v>
      </c>
      <c r="N37" s="44">
        <f t="shared" si="2"/>
        <v>0</v>
      </c>
      <c r="O37" s="45">
        <f>IF($E$33=5,(($B$25*$B$11)/365)*$C37*$E$33*$F37*Simulation!$C$10,((($B$25*$B$11)/365)*$M37*Simulation!$C$10)+(($B$25*$B$11)/365)*$N37*$F37*Simulation!$C$10)</f>
        <v>0</v>
      </c>
      <c r="P37" s="46">
        <f>IF($E$33=5,(($B$26*$B$12)/365)*$C37*$E$33*$F37*Simulation!$C$10,((($B$26*$B$12)/365)*$M37*Simulation!$C$10)+(($B$26*$B$12)/365)*$N37*$F37*Simulation!$C$10)</f>
        <v>0</v>
      </c>
      <c r="Q37" s="79">
        <f>IF($E$33=5,($E$20/365)*$C37*$E$33*$F37*Simulation!$C$10,(($E$20/365)*$M37*Simulation!$C$10)+($E$20/365)*$N37*$F37*Simulation!$C$10)</f>
        <v>0</v>
      </c>
      <c r="R37" s="79" t="e">
        <f>IF($E$33=5,($E$21*#REF!/365)*$C37*$E$33*$F37*Simulation!$C$10,(($E$21*#REF!/365)*$M37*Simulation!$C$10)+($E$21*#REF!/365)*$N37*$F37*Simulation!$C$10)</f>
        <v>#REF!</v>
      </c>
    </row>
    <row r="38" spans="1:18" s="2" customFormat="1" ht="15" x14ac:dyDescent="0.25">
      <c r="A38" s="37">
        <v>43252</v>
      </c>
      <c r="B38" s="38">
        <v>43252</v>
      </c>
      <c r="C38" s="39">
        <f>MAX(0,MIN(EOMONTH(B38,0),Simulation!$C$12)-MAX(B38,Simulation!$C$11)+1)</f>
        <v>0</v>
      </c>
      <c r="D38" s="197"/>
      <c r="E38" s="195"/>
      <c r="F38" s="39">
        <v>1</v>
      </c>
      <c r="G38" s="40">
        <f t="shared" si="0"/>
        <v>30</v>
      </c>
      <c r="H38" s="199"/>
      <c r="I38" s="41">
        <f>IF(Simulation!$C$12&gt;=$B$133,IF(AND(YEAR(Simulation!$C$11)=YEAR(A38),MONTH(A38)=MONTH(Simulation!$C$11)),1,0),0)</f>
        <v>0</v>
      </c>
      <c r="J38" s="42">
        <f>IF($H$33=0,0,IF($H$33=1,SUM(I27:I38),IF($H$33=2,SUM(I17:I38),IF($H$33=3,SUM(I14:I38),IF($H$33=4,SUM(I14:I38),"more than 4 years")))))</f>
        <v>0</v>
      </c>
      <c r="K38" s="43" t="str">
        <f t="shared" si="1"/>
        <v>ok</v>
      </c>
      <c r="L38" s="43">
        <f>IF(J38=1,IF(J39=0,IF(DAY(Simulation!$C$11)=1,0,DAY(Simulation!$C$11)-1),0),0)</f>
        <v>0</v>
      </c>
      <c r="M38" s="40">
        <f>IF(AND(J37=1,J38=1,J39=0,DAY(Simulation!$C$11)=1),0,IF(J38=1,IF(L38&lt;&gt;0,L38,C38),0))</f>
        <v>0</v>
      </c>
      <c r="N38" s="44">
        <f t="shared" si="2"/>
        <v>0</v>
      </c>
      <c r="O38" s="45">
        <f>IF($E$33=5,(($B$25*$B$11)/365)*$C38*$E$33*$F38*Simulation!$C$10,((($B$25*$B$11)/365)*$M38*Simulation!$C$10)+(($B$25*$B$11)/365)*$N38*$F38*Simulation!$C$10)</f>
        <v>0</v>
      </c>
      <c r="P38" s="46">
        <f>IF($E$33=5,(($B$26*$B$12)/365)*$C38*$E$33*$F38*Simulation!$C$10,((($B$26*$B$12)/365)*$M38*Simulation!$C$10)+(($B$26*$B$12)/365)*$N38*$F38*Simulation!$C$10)</f>
        <v>0</v>
      </c>
      <c r="Q38" s="79">
        <f>IF($E$33=5,($E$20/365)*$C38*$E$33*$F38*Simulation!$C$10,(($E$20/365)*$M38*Simulation!$C$10)+($E$20/365)*$N38*$F38*Simulation!$C$10)</f>
        <v>0</v>
      </c>
      <c r="R38" s="79" t="e">
        <f>IF($E$33=5,($E$21*#REF!/365)*$C38*$E$33*$F38*Simulation!$C$10,(($E$21*#REF!/365)*$M38*Simulation!$C$10)+($E$21*#REF!/365)*$N38*$F38*Simulation!$C$10)</f>
        <v>#REF!</v>
      </c>
    </row>
    <row r="39" spans="1:18" s="2" customFormat="1" ht="15" x14ac:dyDescent="0.25">
      <c r="A39" s="37">
        <v>43282</v>
      </c>
      <c r="B39" s="38">
        <v>43282</v>
      </c>
      <c r="C39" s="39">
        <f>MAX(0,MIN(EOMONTH(B39,0),Simulation!$C$12)-MAX(B39,Simulation!$C$11)+1)</f>
        <v>0</v>
      </c>
      <c r="D39" s="197"/>
      <c r="E39" s="195"/>
      <c r="F39" s="39">
        <v>1</v>
      </c>
      <c r="G39" s="40">
        <f t="shared" si="0"/>
        <v>31</v>
      </c>
      <c r="H39" s="199"/>
      <c r="I39" s="41">
        <f>IF(Simulation!$C$12&gt;=$B$133,IF(AND(YEAR(Simulation!$C$11)=YEAR(A39),MONTH(A39)=MONTH(Simulation!$C$11)),1,0),0)</f>
        <v>0</v>
      </c>
      <c r="J39" s="42">
        <f>IF($H$33=0,0,IF($H$33=1,SUM(I27:I39),IF($H$33=2,SUM(I18:I39),IF($H$33=3,SUM(I14:I39),IF($H$33=4,SUM(I14:I39),"more than 4 years")))))</f>
        <v>0</v>
      </c>
      <c r="K39" s="43" t="str">
        <f t="shared" si="1"/>
        <v>ok</v>
      </c>
      <c r="L39" s="43">
        <f>IF(J39=1,IF(J40=0,IF(DAY(Simulation!$C$11)=1,0,DAY(Simulation!$C$11)-1),0),0)</f>
        <v>0</v>
      </c>
      <c r="M39" s="40">
        <f>IF(AND(J38=1,J39=1,J40=0,DAY(Simulation!$C$11)=1),0,IF(J39=1,IF(L39&lt;&gt;0,L39,C39),0))</f>
        <v>0</v>
      </c>
      <c r="N39" s="44">
        <f t="shared" si="2"/>
        <v>0</v>
      </c>
      <c r="O39" s="45">
        <f>IF($E$33=5,(($B$25*$B$11)/365)*$C39*$E$33*$F39*Simulation!$C$10,((($B$25*$B$11)/365)*$M39*Simulation!$C$10)+(($B$25*$B$11)/365)*$N39*$F39*Simulation!$C$10)</f>
        <v>0</v>
      </c>
      <c r="P39" s="46">
        <f>IF($E$33=5,(($B$26*$B$12)/365)*$C39*$E$33*$F39*Simulation!$C$10,((($B$26*$B$12)/365)*$M39*Simulation!$C$10)+(($B$26*$B$12)/365)*$N39*$F39*Simulation!$C$10)</f>
        <v>0</v>
      </c>
      <c r="Q39" s="79">
        <f>IF($E$33=5,($E$20/365)*$C39*$E$33*$F39*Simulation!$C$10,(($E$20/365)*$M39*Simulation!$C$10)+($E$20/365)*$N39*$F39*Simulation!$C$10)</f>
        <v>0</v>
      </c>
      <c r="R39" s="79" t="e">
        <f>IF($E$33=5,($E$21*#REF!/365)*$C39*$E$33*$F39*Simulation!$C$10,(($E$21*#REF!/365)*$M39*Simulation!$C$10)+($E$21*#REF!/365)*$N39*$F39*Simulation!$C$10)</f>
        <v>#REF!</v>
      </c>
    </row>
    <row r="40" spans="1:18" s="2" customFormat="1" ht="15" x14ac:dyDescent="0.25">
      <c r="A40" s="37">
        <v>43313</v>
      </c>
      <c r="B40" s="38">
        <v>43313</v>
      </c>
      <c r="C40" s="39">
        <f>MAX(0,MIN(EOMONTH(B40,0),Simulation!$C$12)-MAX(B40,Simulation!$C$11)+1)</f>
        <v>0</v>
      </c>
      <c r="D40" s="197"/>
      <c r="E40" s="195"/>
      <c r="F40" s="39">
        <v>1</v>
      </c>
      <c r="G40" s="40">
        <f t="shared" si="0"/>
        <v>31</v>
      </c>
      <c r="H40" s="199"/>
      <c r="I40" s="41">
        <f>IF(Simulation!$C$12&gt;=$B$133,IF(AND(YEAR(Simulation!$C$11)=YEAR(A40),MONTH(A40)=MONTH(Simulation!$C$11)),1,0),0)</f>
        <v>0</v>
      </c>
      <c r="J40" s="42">
        <f>IF($H$33=0,0,IF($H$33=1,SUM(I28:I40),IF($H$33=2,SUM(I19:I40),IF($H$33=3,SUM(I14:I40),IF($H$33=4,SUM(I14:I40),"more than 4 years")))))</f>
        <v>0</v>
      </c>
      <c r="K40" s="43" t="str">
        <f t="shared" si="1"/>
        <v>ok</v>
      </c>
      <c r="L40" s="43">
        <f>IF(J40=1,IF(J41=0,IF(DAY(Simulation!$C$11)=1,0,DAY(Simulation!$C$11)-1),0),0)</f>
        <v>0</v>
      </c>
      <c r="M40" s="40">
        <f>IF(AND(J39=1,J40=1,J41=0,DAY(Simulation!$C$11)=1),0,IF(J40=1,IF(L40&lt;&gt;0,L40,C40),0))</f>
        <v>0</v>
      </c>
      <c r="N40" s="44">
        <f t="shared" si="2"/>
        <v>0</v>
      </c>
      <c r="O40" s="45">
        <f>IF($E$33=5,(($B$25*$B$11)/365)*$C40*$E$33*$F40*Simulation!$C$10,((($B$25*$B$11)/365)*$M40*Simulation!$C$10)+(($B$25*$B$11)/365)*$N40*$F40*Simulation!$C$10)</f>
        <v>0</v>
      </c>
      <c r="P40" s="46">
        <f>IF($E$33=5,(($B$26*$B$12)/365)*$C40*$E$33*$F40*Simulation!$C$10,((($B$26*$B$12)/365)*$M40*Simulation!$C$10)+(($B$26*$B$12)/365)*$N40*$F40*Simulation!$C$10)</f>
        <v>0</v>
      </c>
      <c r="Q40" s="79">
        <f>IF($E$33=5,($E$20/365)*$C40*$E$33*$F40*Simulation!$C$10,(($E$20/365)*$M40*Simulation!$C$10)+($E$20/365)*$N40*$F40*Simulation!$C$10)</f>
        <v>0</v>
      </c>
      <c r="R40" s="79" t="e">
        <f>IF($E$33=5,($E$21*#REF!/365)*$C40*$E$33*$F40*Simulation!$C$10,(($E$21*#REF!/365)*$M40*Simulation!$C$10)+($E$21*#REF!/365)*$N40*$F40*Simulation!$C$10)</f>
        <v>#REF!</v>
      </c>
    </row>
    <row r="41" spans="1:18" s="2" customFormat="1" ht="15" x14ac:dyDescent="0.25">
      <c r="A41" s="37">
        <v>43344</v>
      </c>
      <c r="B41" s="38">
        <v>43344</v>
      </c>
      <c r="C41" s="39">
        <f>MAX(0,MIN(EOMONTH(B41,0),Simulation!$C$12)-MAX(B41,Simulation!$C$11)+1)</f>
        <v>0</v>
      </c>
      <c r="D41" s="197"/>
      <c r="E41" s="195"/>
      <c r="F41" s="39">
        <v>1</v>
      </c>
      <c r="G41" s="40">
        <f t="shared" si="0"/>
        <v>30</v>
      </c>
      <c r="H41" s="199"/>
      <c r="I41" s="41">
        <f>IF(Simulation!$C$12&gt;=$B$133,IF(AND(YEAR(Simulation!$C$11)=YEAR(A41),MONTH(A41)=MONTH(Simulation!$C$11)),1,0),0)</f>
        <v>0</v>
      </c>
      <c r="J41" s="42">
        <f>IF($H$33=0,0,IF($H$33=1,SUM(I29:I41),IF($H$33=2,SUM(I20:I41),IF($H$33=3,SUM(I14:I41),IF($H$33=4,SUM(I14:I41),"more than 4 years")))))</f>
        <v>0</v>
      </c>
      <c r="K41" s="43" t="str">
        <f t="shared" si="1"/>
        <v>ok</v>
      </c>
      <c r="L41" s="43">
        <f>IF(J41=1,IF(J42=0,IF(DAY(Simulation!$C$11)=1,0,DAY(Simulation!$C$11)-1),0),0)</f>
        <v>0</v>
      </c>
      <c r="M41" s="40">
        <f>IF(AND(J40=1,J41=1,J42=0,DAY(Simulation!$C$11)=1),0,IF(J41=1,IF(L41&lt;&gt;0,L41,C41),0))</f>
        <v>0</v>
      </c>
      <c r="N41" s="44">
        <f t="shared" si="2"/>
        <v>0</v>
      </c>
      <c r="O41" s="45">
        <f>IF($E$33=5,(($B$25*$B$11)/365)*$C41*$E$33*$F41*Simulation!$C$10,((($B$25*$B$11)/365)*$M41*Simulation!$C$10)+(($B$25*$B$11)/365)*$N41*$F41*Simulation!$C$10)</f>
        <v>0</v>
      </c>
      <c r="P41" s="46">
        <f>IF($E$33=5,(($B$26*$B$12)/365)*$C41*$E$33*$F41*Simulation!$C$10,((($B$26*$B$12)/365)*$M41*Simulation!$C$10)+(($B$26*$B$12)/365)*$N41*$F41*Simulation!$C$10)</f>
        <v>0</v>
      </c>
      <c r="Q41" s="79">
        <f>IF($E$33=5,($E$20/365)*$C41*$E$33*$F41*Simulation!$C$10,(($E$20/365)*$M41*Simulation!$C$10)+($E$20/365)*$N41*$F41*Simulation!$C$10)</f>
        <v>0</v>
      </c>
      <c r="R41" s="79" t="e">
        <f>IF($E$33=5,($E$21*#REF!/365)*$C41*$E$33*$F41*Simulation!$C$10,(($E$21*#REF!/365)*$M41*Simulation!$C$10)+($E$21*#REF!/365)*$N41*$F41*Simulation!$C$10)</f>
        <v>#REF!</v>
      </c>
    </row>
    <row r="42" spans="1:18" s="2" customFormat="1" ht="15" x14ac:dyDescent="0.25">
      <c r="A42" s="37">
        <v>43374</v>
      </c>
      <c r="B42" s="38">
        <v>43374</v>
      </c>
      <c r="C42" s="39">
        <f>MAX(0,MIN(EOMONTH(B42,0),Simulation!$C$12)-MAX(B42,Simulation!$C$11)+1)</f>
        <v>0</v>
      </c>
      <c r="D42" s="197"/>
      <c r="E42" s="195"/>
      <c r="F42" s="39">
        <v>1</v>
      </c>
      <c r="G42" s="40">
        <f t="shared" si="0"/>
        <v>31</v>
      </c>
      <c r="H42" s="199"/>
      <c r="I42" s="41">
        <f>IF(Simulation!$C$12&gt;=$B$133,IF(AND(YEAR(Simulation!$C$11)=YEAR(A42),MONTH(A42)=MONTH(Simulation!$C$11)),1,0),0)</f>
        <v>0</v>
      </c>
      <c r="J42" s="42">
        <f>IF($H$33=0,0,IF($H$33=1,SUM(I30:I42),IF($H$33=2,SUM(I21:I42),IF($H$33=3,SUM(I14:I42),IF($H$33=4,SUM(I14:I42),"more than 4 years")))))</f>
        <v>0</v>
      </c>
      <c r="K42" s="43" t="str">
        <f t="shared" si="1"/>
        <v>ok</v>
      </c>
      <c r="L42" s="43">
        <f>IF(J42=1,IF(J43=0,IF(DAY(Simulation!$C$11)=1,0,DAY(Simulation!$C$11)-1),0),0)</f>
        <v>0</v>
      </c>
      <c r="M42" s="40">
        <f>IF(AND(J41=1,J42=1,J43=0,DAY(Simulation!$C$11)=1),0,IF(J42=1,IF(L42&lt;&gt;0,L42,C42),0))</f>
        <v>0</v>
      </c>
      <c r="N42" s="44">
        <f t="shared" si="2"/>
        <v>0</v>
      </c>
      <c r="O42" s="45">
        <f>IF($E$33=5,(($B$25*$B$11)/365)*$C42*$E$33*$F42*Simulation!$C$10,((($B$25*$B$11)/365)*$M42*Simulation!$C$10)+(($B$25*$B$11)/365)*$N42*$F42*Simulation!$C$10)</f>
        <v>0</v>
      </c>
      <c r="P42" s="46">
        <f>IF($E$33=5,(($B$26*$B$12)/365)*$C42*$E$33*$F42*Simulation!$C$10,((($B$26*$B$12)/365)*$M42*Simulation!$C$10)+(($B$26*$B$12)/365)*$N42*$F42*Simulation!$C$10)</f>
        <v>0</v>
      </c>
      <c r="Q42" s="79">
        <f>IF($E$33=5,($E$20/365)*$C42*$E$33*$F42*Simulation!$C$10,(($E$20/365)*$M42*Simulation!$C$10)+($E$20/365)*$N42*$F42*Simulation!$C$10)</f>
        <v>0</v>
      </c>
      <c r="R42" s="79" t="e">
        <f>IF($E$33=5,($E$21*#REF!/365)*$C42*$E$33*$F42*Simulation!$C$10,(($E$21*#REF!/365)*$M42*Simulation!$C$10)+($E$21*#REF!/365)*$N42*$F42*Simulation!$C$10)</f>
        <v>#REF!</v>
      </c>
    </row>
    <row r="43" spans="1:18" s="2" customFormat="1" ht="15" x14ac:dyDescent="0.25">
      <c r="A43" s="37">
        <v>43405</v>
      </c>
      <c r="B43" s="38">
        <v>43405</v>
      </c>
      <c r="C43" s="39">
        <f>MAX(0,MIN(EOMONTH(B43,0),Simulation!$C$12)-MAX(B43,Simulation!$C$11)+1)</f>
        <v>0</v>
      </c>
      <c r="D43" s="197"/>
      <c r="E43" s="195"/>
      <c r="F43" s="39">
        <v>1</v>
      </c>
      <c r="G43" s="40">
        <f t="shared" si="0"/>
        <v>30</v>
      </c>
      <c r="H43" s="199"/>
      <c r="I43" s="41">
        <f>IF(Simulation!$C$12&gt;=$B$133,IF(AND(YEAR(Simulation!$C$11)=YEAR(A43),MONTH(A43)=MONTH(Simulation!$C$11)),1,0),0)</f>
        <v>0</v>
      </c>
      <c r="J43" s="42">
        <f>IF($H$33=0,0,IF($H$33=1,SUM(I31:I43),IF($H$33=2,SUM(I21:I43),IF($H$33=3,SUM(I14:I43),IF($H$33=4,SUM(I14:I43),"more than 4 years")))))</f>
        <v>0</v>
      </c>
      <c r="K43" s="43" t="str">
        <f t="shared" si="1"/>
        <v>ok</v>
      </c>
      <c r="L43" s="43">
        <f>IF(J43=1,IF(J44=0,IF(DAY(Simulation!$C$11)=1,0,DAY(Simulation!$C$11)-1),0),0)</f>
        <v>0</v>
      </c>
      <c r="M43" s="40">
        <f>IF(AND(J42=1,J43=1,J44=0,DAY(Simulation!$C$11)=1),0,IF(J43=1,IF(L43&lt;&gt;0,L43,C43),0))</f>
        <v>0</v>
      </c>
      <c r="N43" s="44">
        <f t="shared" si="2"/>
        <v>0</v>
      </c>
      <c r="O43" s="45">
        <f>IF($E$33=5,(($B$25*$B$11)/365)*$C43*$E$33*$F43*Simulation!$C$10,((($B$25*$B$11)/365)*$M43*Simulation!$C$10)+(($B$25*$B$11)/365)*$N43*$F43*Simulation!$C$10)</f>
        <v>0</v>
      </c>
      <c r="P43" s="46">
        <f>IF($E$33=5,(($B$26*$B$12)/365)*$C43*$E$33*$F43*Simulation!$C$10,((($B$26*$B$12)/365)*$M43*Simulation!$C$10)+(($B$26*$B$12)/365)*$N43*$F43*Simulation!$C$10)</f>
        <v>0</v>
      </c>
      <c r="Q43" s="79">
        <f>IF($E$33=5,($E$20/365)*$C43*$E$33*$F43*Simulation!$C$10,(($E$20/365)*$M43*Simulation!$C$10)+($E$20/365)*$N43*$F43*Simulation!$C$10)</f>
        <v>0</v>
      </c>
      <c r="R43" s="79" t="e">
        <f>IF($E$33=5,($E$21*#REF!/365)*$C43*$E$33*$F43*Simulation!$C$10,(($E$21*#REF!/365)*$M43*Simulation!$C$10)+($E$21*#REF!/365)*$N43*$F43*Simulation!$C$10)</f>
        <v>#REF!</v>
      </c>
    </row>
    <row r="44" spans="1:18" s="2" customFormat="1" ht="15" x14ac:dyDescent="0.25">
      <c r="A44" s="37">
        <v>43435</v>
      </c>
      <c r="B44" s="38">
        <v>43435</v>
      </c>
      <c r="C44" s="39">
        <f>MAX(0,MIN(EOMONTH(B44,0),Simulation!$C$12)-MAX(B44,Simulation!$C$11)+1)</f>
        <v>0</v>
      </c>
      <c r="D44" s="197"/>
      <c r="E44" s="195"/>
      <c r="F44" s="39">
        <v>1</v>
      </c>
      <c r="G44" s="40">
        <f t="shared" si="0"/>
        <v>31</v>
      </c>
      <c r="H44" s="199"/>
      <c r="I44" s="41">
        <f>IF(Simulation!$C$12&gt;=$B$133,IF(AND(YEAR(Simulation!$C$11)=YEAR(A44),MONTH(A44)=MONTH(Simulation!$C$11)),1,0),0)</f>
        <v>0</v>
      </c>
      <c r="J44" s="42">
        <f>IF($H$33=0,0,IF($H$33=1,SUM(I32:I44),IF($H$33=2,SUM(I22:I44),IF($H$33=3,SUM(I14:I44),IF($H$33=4,SUM(I14:I44),"more than 4 years")))))</f>
        <v>0</v>
      </c>
      <c r="K44" s="43" t="str">
        <f t="shared" si="1"/>
        <v>ok</v>
      </c>
      <c r="L44" s="43">
        <f>IF(J44=1,IF(J45=0,IF(DAY(Simulation!$C$11)=1,0,DAY(Simulation!$C$11)-1),0),0)</f>
        <v>0</v>
      </c>
      <c r="M44" s="40">
        <f>IF(AND(J43=1,J44=1,J45=0,DAY(Simulation!$C$11)=1),0,IF(J44=1,IF(L44&lt;&gt;0,L44,C44),0))</f>
        <v>0</v>
      </c>
      <c r="N44" s="44">
        <f t="shared" si="2"/>
        <v>0</v>
      </c>
      <c r="O44" s="45">
        <f>IF($E$33=5,(($B$25*$B$11)/365)*$C44*$E$33*$F44*Simulation!$C$10,((($B$25*$B$11)/365)*$M44*Simulation!$C$10)+(($B$25*$B$11)/365)*$N44*$F44*Simulation!$C$10)</f>
        <v>0</v>
      </c>
      <c r="P44" s="46">
        <f>IF($E$33=5,(($B$26*$B$12)/365)*$C44*$E$33*$F44*Simulation!$C$10,((($B$26*$B$12)/365)*$M44*Simulation!$C$10)+(($B$26*$B$12)/365)*$N44*$F44*Simulation!$C$10)</f>
        <v>0</v>
      </c>
      <c r="Q44" s="79">
        <f>IF($E$33=5,($E$20/365)*$C44*$E$33*$F44*Simulation!$C$10,(($E$20/365)*$M44*Simulation!$C$10)+($E$20/365)*$N44*$F44*Simulation!$C$10)</f>
        <v>0</v>
      </c>
      <c r="R44" s="79" t="e">
        <f>IF($E$33=5,($E$21*#REF!/365)*$C44*$E$33*$F44*Simulation!$C$10,(($E$21*#REF!/365)*$M44*Simulation!$C$10)+($E$21*#REF!/365)*$N44*$F44*Simulation!$C$10)</f>
        <v>#REF!</v>
      </c>
    </row>
    <row r="45" spans="1:18" s="2" customFormat="1" ht="15" x14ac:dyDescent="0.25">
      <c r="A45" s="37">
        <v>43466</v>
      </c>
      <c r="B45" s="38">
        <v>43466</v>
      </c>
      <c r="C45" s="39">
        <f>MAX(0,MIN(EOMONTH(B45,0),Simulation!$C$12)-MAX(B45,Simulation!$C$11)+1)</f>
        <v>0</v>
      </c>
      <c r="D45" s="197"/>
      <c r="E45" s="195"/>
      <c r="F45" s="39">
        <v>1</v>
      </c>
      <c r="G45" s="40">
        <f t="shared" si="0"/>
        <v>31</v>
      </c>
      <c r="H45" s="199"/>
      <c r="I45" s="41">
        <f>IF(Simulation!$C$12&gt;=$B$133,IF(AND(YEAR(Simulation!$C$11)=YEAR(A45),MONTH(A45)=MONTH(Simulation!$C$11)),1,0),0)</f>
        <v>0</v>
      </c>
      <c r="J45" s="42">
        <f>IF($H$33=0,0,IF($H$33=1,SUM(I33:I45),IF($H$33=2,SUM(I22:I45),IF($H$33=3,SUM(I14:I45),IF($H$33=4,SUM(I14:I45),"more than 4 years")))))</f>
        <v>0</v>
      </c>
      <c r="K45" s="43" t="str">
        <f t="shared" si="1"/>
        <v>ok</v>
      </c>
      <c r="L45" s="43">
        <f>IF(J45=1,IF(J46=0,IF(DAY(Simulation!$C$11)=1,0,DAY(Simulation!$C$11)-1),0),0)</f>
        <v>0</v>
      </c>
      <c r="M45" s="40">
        <f>IF(AND(J44=1,J45=1,J46=0,DAY(Simulation!$C$11)=1),0,IF(J45=1,IF(L45&lt;&gt;0,L45,C45),0))</f>
        <v>0</v>
      </c>
      <c r="N45" s="44">
        <f t="shared" si="2"/>
        <v>0</v>
      </c>
      <c r="O45" s="45">
        <f>IF($E$33=5,(($B$25*$B$11)/365)*$C45*$E$33*$F45*Simulation!$C$10,((($B$25*$B$11)/365)*$M45*Simulation!$C$10)+(($B$25*$B$11)/365)*$N45*$F45*Simulation!$C$10)</f>
        <v>0</v>
      </c>
      <c r="P45" s="46">
        <f>IF($E$33=5,(($B$26*$B$12)/365)*$C45*$E$33*$F45*Simulation!$C$10,((($B$26*$B$12)/365)*$M45*Simulation!$C$10)+(($B$26*$B$12)/365)*$N45*$F45*Simulation!$C$10)</f>
        <v>0</v>
      </c>
      <c r="Q45" s="79">
        <f>IF($E$33=5,($E$20/365)*$C45*$E$33*$F45*Simulation!$C$10,(($E$20/365)*$M45*Simulation!$C$10)+($E$20/365)*$N45*$F45*Simulation!$C$10)</f>
        <v>0</v>
      </c>
      <c r="R45" s="79" t="e">
        <f>IF($E$33=5,($E$21*#REF!/365)*$C45*$E$33*$F45*Simulation!$C$10,(($E$21*#REF!/365)*$M45*Simulation!$C$10)+($E$21*#REF!/365)*$N45*$F45*Simulation!$C$10)</f>
        <v>#REF!</v>
      </c>
    </row>
    <row r="46" spans="1:18" s="2" customFormat="1" ht="15" x14ac:dyDescent="0.25">
      <c r="A46" s="37">
        <v>43497</v>
      </c>
      <c r="B46" s="38">
        <v>43497</v>
      </c>
      <c r="C46" s="39">
        <f>MAX(0,MIN(EOMONTH(B46,0),Simulation!$C$12)-MAX(B46,Simulation!$C$11)+1)</f>
        <v>0</v>
      </c>
      <c r="D46" s="197"/>
      <c r="E46" s="195"/>
      <c r="F46" s="39">
        <v>1</v>
      </c>
      <c r="G46" s="40">
        <f t="shared" si="0"/>
        <v>28</v>
      </c>
      <c r="H46" s="199"/>
      <c r="I46" s="41">
        <f>IF(Simulation!$C$12&gt;=$B$133,IF(AND(YEAR(Simulation!$C$11)=YEAR(A46),MONTH(A46)=MONTH(Simulation!$C$11)),1,0),0)</f>
        <v>0</v>
      </c>
      <c r="J46" s="42">
        <f>IF($H$33=0,0,IF($H$33=1,SUM(I34:I46),IF($H$33=2,SUM(I23:I46),IF($H$33=3,SUM(I15:I46),IF($H$33=4,SUM(I14:I46),"more than 4 years")))))</f>
        <v>0</v>
      </c>
      <c r="K46" s="43" t="str">
        <f t="shared" si="1"/>
        <v>ok</v>
      </c>
      <c r="L46" s="43">
        <f>IF(J46=1,IF(J47=0,IF(DAY(Simulation!$C$11)=1,0,DAY(Simulation!$C$11)-1),0),0)</f>
        <v>0</v>
      </c>
      <c r="M46" s="40">
        <f>IF(AND(J45=1,J46=1,J47=0,DAY(Simulation!$C$11)=1),0,IF(J46=1,IF(L46&lt;&gt;0,L46,C46),0))</f>
        <v>0</v>
      </c>
      <c r="N46" s="44">
        <f t="shared" si="2"/>
        <v>0</v>
      </c>
      <c r="O46" s="45">
        <f>IF($E$33=5,(($B$25*$B$11)/365)*$C46*$E$33*$F46*Simulation!$C$10,((($B$25*$B$11)/365)*$M46*Simulation!$C$10)+(($B$25*$B$11)/365)*$N46*$F46*Simulation!$C$10)</f>
        <v>0</v>
      </c>
      <c r="P46" s="46">
        <f>IF($E$33=5,(($B$26*$B$12)/365)*$C46*$E$33*$F46*Simulation!$C$10,((($B$26*$B$12)/365)*$M46*Simulation!$C$10)+(($B$26*$B$12)/365)*$N46*$F46*Simulation!$C$10)</f>
        <v>0</v>
      </c>
      <c r="Q46" s="79">
        <f>IF($E$33=5,($E$20/365)*$C46*$E$33*$F46*Simulation!$C$10,(($E$20/365)*$M46*Simulation!$C$10)+($E$20/365)*$N46*$F46*Simulation!$C$10)</f>
        <v>0</v>
      </c>
      <c r="R46" s="79" t="e">
        <f>IF($E$33=5,($E$21*#REF!/365)*$C46*$E$33*$F46*Simulation!$C$10,(($E$21*#REF!/365)*$M46*Simulation!$C$10)+($E$21*#REF!/365)*$N46*$F46*Simulation!$C$10)</f>
        <v>#REF!</v>
      </c>
    </row>
    <row r="47" spans="1:18" s="2" customFormat="1" ht="15" x14ac:dyDescent="0.25">
      <c r="A47" s="37">
        <v>43525</v>
      </c>
      <c r="B47" s="38">
        <v>43525</v>
      </c>
      <c r="C47" s="39">
        <f>MAX(0,MIN(EOMONTH(B47,0),Simulation!$C$12)-MAX(B47,Simulation!$C$11)+1)</f>
        <v>0</v>
      </c>
      <c r="D47" s="197"/>
      <c r="E47" s="195"/>
      <c r="F47" s="39">
        <v>1</v>
      </c>
      <c r="G47" s="40">
        <f t="shared" si="0"/>
        <v>31</v>
      </c>
      <c r="H47" s="199"/>
      <c r="I47" s="41">
        <f>IF(Simulation!$C$12&gt;=$B$133,IF(AND(YEAR(Simulation!$C$11)=YEAR(A47),MONTH(A47)=MONTH(Simulation!$C$11)),1,0),0)</f>
        <v>0</v>
      </c>
      <c r="J47" s="42">
        <f>IF($H$33=0,0,IF($H$33=1,SUM(I35:I47),IF($H$33=2,SUM(I24:I47),IF($H$33=3,SUM(I15:I47),IF($H$33=4,SUM(I14:I47),"more than 4 years")))))</f>
        <v>0</v>
      </c>
      <c r="K47" s="43" t="str">
        <f t="shared" si="1"/>
        <v>ok</v>
      </c>
      <c r="L47" s="43">
        <f>IF(J47=1,IF(J48=0,IF(DAY(Simulation!$C$11)=1,0,DAY(Simulation!$C$11)-1),0),0)</f>
        <v>0</v>
      </c>
      <c r="M47" s="40">
        <f>IF(AND(J46=1,J47=1,J48=0,DAY(Simulation!$C$11)=1),0,IF(J47=1,IF(L47&lt;&gt;0,L47,C47),0))</f>
        <v>0</v>
      </c>
      <c r="N47" s="44">
        <f t="shared" si="2"/>
        <v>0</v>
      </c>
      <c r="O47" s="45">
        <f>IF($E$33=5,(($B$25*$B$11)/365)*$C47*$E$33*$F47*Simulation!$C$10,((($B$25*$B$11)/365)*$M47*Simulation!$C$10)+(($B$25*$B$11)/365)*$N47*$F47*Simulation!$C$10)</f>
        <v>0</v>
      </c>
      <c r="P47" s="46">
        <f>IF($E$33=5,(($B$26*$B$12)/365)*$C47*$E$33*$F47*Simulation!$C$10,((($B$26*$B$12)/365)*$M47*Simulation!$C$10)+(($B$26*$B$12)/365)*$N47*$F47*Simulation!$C$10)</f>
        <v>0</v>
      </c>
      <c r="Q47" s="79">
        <f>IF($E$33=5,($E$20/365)*$C47*$E$33*$F47*Simulation!$C$10,(($E$20/365)*$M47*Simulation!$C$10)+($E$20/365)*$N47*$F47*Simulation!$C$10)</f>
        <v>0</v>
      </c>
      <c r="R47" s="79" t="e">
        <f>IF($E$33=5,($E$21*#REF!/365)*$C47*$E$33*$F47*Simulation!$C$10,(($E$21*#REF!/365)*$M47*Simulation!$C$10)+($E$21*#REF!/365)*$N47*$F47*Simulation!$C$10)</f>
        <v>#REF!</v>
      </c>
    </row>
    <row r="48" spans="1:18" s="2" customFormat="1" ht="15" x14ac:dyDescent="0.25">
      <c r="A48" s="37">
        <v>43556</v>
      </c>
      <c r="B48" s="38">
        <v>43556</v>
      </c>
      <c r="C48" s="39">
        <f>MAX(0,MIN(EOMONTH(B48,0),Simulation!$C$12)-MAX(B48,Simulation!$C$11)+1)</f>
        <v>0</v>
      </c>
      <c r="D48" s="197"/>
      <c r="E48" s="195"/>
      <c r="F48" s="39">
        <v>1</v>
      </c>
      <c r="G48" s="40">
        <f t="shared" si="0"/>
        <v>30</v>
      </c>
      <c r="H48" s="199"/>
      <c r="I48" s="41">
        <f>IF(Simulation!$C$12&gt;=$B$133,IF(AND(YEAR(Simulation!$C$11)=YEAR(A48),MONTH(A48)=MONTH(Simulation!$C$11)),1,0),0)</f>
        <v>0</v>
      </c>
      <c r="J48" s="42">
        <f>IF($H$33=0,0,IF($H$33=1,SUM(I36:I48),IF($H$33=2,SUM(I25:I48),IF($H$33=3,SUM(I15:I48),IF($H$33=4,SUM(I14:I48),"more than 4 years")))))</f>
        <v>0</v>
      </c>
      <c r="K48" s="43" t="str">
        <f t="shared" si="1"/>
        <v>ok</v>
      </c>
      <c r="L48" s="43">
        <f>IF(J48=1,IF(J49=0,IF(DAY(Simulation!$C$11)=1,0,DAY(Simulation!$C$11)-1),0),0)</f>
        <v>0</v>
      </c>
      <c r="M48" s="40">
        <f>IF(AND(J47=1,J48=1,J49=0,DAY(Simulation!$C$11)=1),0,IF(J48=1,IF(L48&lt;&gt;0,L48,C48),0))</f>
        <v>0</v>
      </c>
      <c r="N48" s="44">
        <f t="shared" si="2"/>
        <v>0</v>
      </c>
      <c r="O48" s="45">
        <f>IF($E$33=5,(($B$25*$B$11)/365)*$C48*$E$33*$F48*Simulation!$C$10,((($B$25*$B$11)/365)*$M48*Simulation!$C$10)+(($B$25*$B$11)/365)*$N48*$F48*Simulation!$C$10)</f>
        <v>0</v>
      </c>
      <c r="P48" s="46">
        <f>IF($E$33=5,(($B$26*$B$12)/365)*$C48*$E$33*$F48*Simulation!$C$10,((($B$26*$B$12)/365)*$M48*Simulation!$C$10)+(($B$26*$B$12)/365)*$N48*$F48*Simulation!$C$10)</f>
        <v>0</v>
      </c>
      <c r="Q48" s="79">
        <f>IF($E$33=5,($E$20/365)*$C48*$E$33*$F48*Simulation!$C$10,(($E$20/365)*$M48*Simulation!$C$10)+($E$20/365)*$N48*$F48*Simulation!$C$10)</f>
        <v>0</v>
      </c>
      <c r="R48" s="79" t="e">
        <f>IF($E$33=5,($E$21*#REF!/365)*$C48*$E$33*$F48*Simulation!$C$10,(($E$21*#REF!/365)*$M48*Simulation!$C$10)+($E$21*#REF!/365)*$N48*$F48*Simulation!$C$10)</f>
        <v>#REF!</v>
      </c>
    </row>
    <row r="49" spans="1:18" s="2" customFormat="1" ht="15" x14ac:dyDescent="0.25">
      <c r="A49" s="37">
        <v>43586</v>
      </c>
      <c r="B49" s="38">
        <v>43586</v>
      </c>
      <c r="C49" s="39">
        <f>MAX(0,MIN(EOMONTH(B49,0),Simulation!$C$12)-MAX(B49,Simulation!$C$11)+1)</f>
        <v>0</v>
      </c>
      <c r="D49" s="197"/>
      <c r="E49" s="195"/>
      <c r="F49" s="39">
        <v>1</v>
      </c>
      <c r="G49" s="40">
        <f t="shared" si="0"/>
        <v>31</v>
      </c>
      <c r="H49" s="199"/>
      <c r="I49" s="41">
        <f>IF(Simulation!$C$12&gt;=$B$133,IF(AND(YEAR(Simulation!$C$11)=YEAR(A49),MONTH(A49)=MONTH(Simulation!$C$11)),1,0),0)</f>
        <v>0</v>
      </c>
      <c r="J49" s="42">
        <f>IF($H$33=0,0,IF($H$33=1,SUM(I37:I49),IF($H$33=2,SUM(I27:I49),IF($H$33=3,SUM(I16:I49),IF($H$33=4,SUM(I14:I49),"more than 4 years")))))</f>
        <v>0</v>
      </c>
      <c r="K49" s="43" t="str">
        <f t="shared" si="1"/>
        <v>ok</v>
      </c>
      <c r="L49" s="43">
        <f>IF(J49=1,IF(J50=0,IF(DAY(Simulation!$C$11)=1,0,DAY(Simulation!$C$11)-1),0),0)</f>
        <v>0</v>
      </c>
      <c r="M49" s="40">
        <f>IF(AND(J48=1,J49=1,J50=0,DAY(Simulation!$C$11)=1),0,IF(J49=1,IF(L49&lt;&gt;0,L49,C49),0))</f>
        <v>0</v>
      </c>
      <c r="N49" s="44">
        <f t="shared" si="2"/>
        <v>0</v>
      </c>
      <c r="O49" s="45">
        <f>IF($E$33=5,(($B$25*$B$11)/365)*$C49*$E$33*$F49*Simulation!$C$10,((($B$25*$B$11)/365)*$M49*Simulation!$C$10)+(($B$25*$B$11)/365)*$N49*$F49*Simulation!$C$10)</f>
        <v>0</v>
      </c>
      <c r="P49" s="46">
        <f>IF($E$33=5,(($B$26*$B$12)/365)*$C49*$E$33*$F49*Simulation!$C$10,((($B$26*$B$12)/365)*$M49*Simulation!$C$10)+(($B$26*$B$12)/365)*$N49*$F49*Simulation!$C$10)</f>
        <v>0</v>
      </c>
      <c r="Q49" s="79">
        <f>IF($E$33=5,($E$20/365)*$C49*$E$33*$F49*Simulation!$C$10,(($E$20/365)*$M49*Simulation!$C$10)+($E$20/365)*$N49*$F49*Simulation!$C$10)</f>
        <v>0</v>
      </c>
      <c r="R49" s="79" t="e">
        <f>IF($E$33=5,($E$21*#REF!/365)*$C49*$E$33*$F49*Simulation!$C$10,(($E$21*#REF!/365)*$M49*Simulation!$C$10)+($E$21*#REF!/365)*$N49*$F49*Simulation!$C$10)</f>
        <v>#REF!</v>
      </c>
    </row>
    <row r="50" spans="1:18" s="2" customFormat="1" ht="15" x14ac:dyDescent="0.25">
      <c r="A50" s="37">
        <v>43617</v>
      </c>
      <c r="B50" s="38">
        <v>43617</v>
      </c>
      <c r="C50" s="39">
        <f>MAX(0,MIN(EOMONTH(B50,0),Simulation!$C$12)-MAX(B50,Simulation!$C$11)+1)</f>
        <v>0</v>
      </c>
      <c r="D50" s="197"/>
      <c r="E50" s="195"/>
      <c r="F50" s="39">
        <v>1</v>
      </c>
      <c r="G50" s="40">
        <f t="shared" si="0"/>
        <v>30</v>
      </c>
      <c r="H50" s="199"/>
      <c r="I50" s="41">
        <f>IF(Simulation!$C$12&gt;=$B$133,IF(AND(YEAR(Simulation!$C$11)=YEAR(A50),MONTH(A50)=MONTH(Simulation!$C$11)),1,0),0)</f>
        <v>0</v>
      </c>
      <c r="J50" s="42">
        <f>IF($H$33=0,0,IF($H$33=1,SUM(I38:I50),IF($H$33=2,SUM(I27:I50),IF($H$33=3,SUM(I17:I50),IF($H$33=4,SUM(I14:I50),"more than 4 years")))))</f>
        <v>0</v>
      </c>
      <c r="K50" s="43" t="str">
        <f t="shared" si="1"/>
        <v>ok</v>
      </c>
      <c r="L50" s="43">
        <f>IF(J50=1,IF(J51=0,IF(DAY(Simulation!$C$11)=1,0,DAY(Simulation!$C$11)-1),0),0)</f>
        <v>0</v>
      </c>
      <c r="M50" s="40">
        <f>IF(AND(J49=1,J50=1,J51=0,DAY(Simulation!$C$11)=1),0,IF(J50=1,IF(L50&lt;&gt;0,L50,C50),0))</f>
        <v>0</v>
      </c>
      <c r="N50" s="44">
        <f t="shared" si="2"/>
        <v>0</v>
      </c>
      <c r="O50" s="45">
        <f>IF($E$33=5,(($B$25*$B$11)/365)*$C50*$E$33*$F50*Simulation!$C$10,((($B$25*$B$11)/365)*$M50*Simulation!$C$10)+(($B$25*$B$11)/365)*$N50*$F50*Simulation!$C$10)</f>
        <v>0</v>
      </c>
      <c r="P50" s="46">
        <f>IF($E$33=5,(($B$26*$B$12)/365)*$C50*$E$33*$F50*Simulation!$C$10,((($B$26*$B$12)/365)*$M50*Simulation!$C$10)+(($B$26*$B$12)/365)*$N50*$F50*Simulation!$C$10)</f>
        <v>0</v>
      </c>
      <c r="Q50" s="79">
        <f>IF($E$33=5,($E$20/365)*$C50*$E$33*$F50*Simulation!$C$10,(($E$20/365)*$M50*Simulation!$C$10)+($E$20/365)*$N50*$F50*Simulation!$C$10)</f>
        <v>0</v>
      </c>
      <c r="R50" s="79" t="e">
        <f>IF($E$33=5,($E$21*#REF!/365)*$C50*$E$33*$F50*Simulation!$C$10,(($E$21*#REF!/365)*$M50*Simulation!$C$10)+($E$21*#REF!/365)*$N50*$F50*Simulation!$C$10)</f>
        <v>#REF!</v>
      </c>
    </row>
    <row r="51" spans="1:18" s="2" customFormat="1" ht="15" x14ac:dyDescent="0.25">
      <c r="A51" s="37">
        <v>43647</v>
      </c>
      <c r="B51" s="38">
        <v>43647</v>
      </c>
      <c r="C51" s="39">
        <f>MAX(0,MIN(EOMONTH(B51,0),Simulation!$C$12)-MAX(B51,Simulation!$C$11)+1)</f>
        <v>0</v>
      </c>
      <c r="D51" s="197"/>
      <c r="E51" s="195"/>
      <c r="F51" s="39">
        <v>1</v>
      </c>
      <c r="G51" s="40">
        <f t="shared" si="0"/>
        <v>31</v>
      </c>
      <c r="H51" s="199"/>
      <c r="I51" s="41">
        <f>IF(Simulation!$C$12&gt;=$B$133,IF(AND(YEAR(Simulation!$C$11)=YEAR(A51),MONTH(A51)=MONTH(Simulation!$C$11)),1,0),0)</f>
        <v>0</v>
      </c>
      <c r="J51" s="42">
        <f>IF($H$33=0,0,IF($H$33=1,SUM(I39:I51),IF($H$33=2,SUM(I27:I51),IF($H$33=3,SUM(I18:I51),IF($H$33=4,SUM(I14:I51),"more than 4 years")))))</f>
        <v>0</v>
      </c>
      <c r="K51" s="43" t="str">
        <f t="shared" si="1"/>
        <v>ok</v>
      </c>
      <c r="L51" s="43">
        <f>IF(J51=1,IF(J52=0,IF(DAY(Simulation!$C$11)=1,0,DAY(Simulation!$C$11)-1),0),0)</f>
        <v>0</v>
      </c>
      <c r="M51" s="40">
        <f>IF(AND(J50=1,J51=1,J52=0,DAY(Simulation!$C$11)=1),0,IF(J51=1,IF(L51&lt;&gt;0,L51,C51),0))</f>
        <v>0</v>
      </c>
      <c r="N51" s="44">
        <f t="shared" si="2"/>
        <v>0</v>
      </c>
      <c r="O51" s="45">
        <f>IF($E$33=5,(($B$25*$B$11)/365)*$C51*$E$33*$F51*Simulation!$C$10,((($B$25*$B$11)/365)*$M51*Simulation!$C$10)+(($B$25*$B$11)/365)*$N51*$F51*Simulation!$C$10)</f>
        <v>0</v>
      </c>
      <c r="P51" s="46">
        <f>IF($E$33=5,(($B$26*$B$12)/365)*$C51*$E$33*$F51*Simulation!$C$10,((($B$26*$B$12)/365)*$M51*Simulation!$C$10)+(($B$26*$B$12)/365)*$N51*$F51*Simulation!$C$10)</f>
        <v>0</v>
      </c>
      <c r="Q51" s="79">
        <f>IF($E$33=5,($E$20/365)*$C51*$E$33*$F51*Simulation!$C$10,(($E$20/365)*$M51*Simulation!$C$10)+($E$20/365)*$N51*$F51*Simulation!$C$10)</f>
        <v>0</v>
      </c>
      <c r="R51" s="79" t="e">
        <f>IF($E$33=5,($E$21*#REF!/365)*$C51*$E$33*$F51*Simulation!$C$10,(($E$21*#REF!/365)*$M51*Simulation!$C$10)+($E$21*#REF!/365)*$N51*$F51*Simulation!$C$10)</f>
        <v>#REF!</v>
      </c>
    </row>
    <row r="52" spans="1:18" s="2" customFormat="1" ht="15" x14ac:dyDescent="0.25">
      <c r="A52" s="37">
        <v>43678</v>
      </c>
      <c r="B52" s="38">
        <v>43678</v>
      </c>
      <c r="C52" s="39">
        <f>MAX(0,MIN(EOMONTH(B52,0),Simulation!$C$12)-MAX(B52,Simulation!$C$11)+1)</f>
        <v>0</v>
      </c>
      <c r="D52" s="197"/>
      <c r="E52" s="195"/>
      <c r="F52" s="39">
        <v>1</v>
      </c>
      <c r="G52" s="40">
        <f t="shared" si="0"/>
        <v>31</v>
      </c>
      <c r="H52" s="199"/>
      <c r="I52" s="41">
        <f>IF(Simulation!$C$12&gt;=$B$133,IF(AND(YEAR(Simulation!$C$11)=YEAR(A52),MONTH(A52)=MONTH(Simulation!$C$11)),1,0),0)</f>
        <v>0</v>
      </c>
      <c r="J52" s="42">
        <f>IF($H$33=0,0,IF($H$33=1,SUM(I40:I52),IF($H$33=2,SUM(I28:I52),IF($H$33=3,SUM(I19:I52),IF($H$33=4,SUM(I14:I52),"more than 4 years")))))</f>
        <v>0</v>
      </c>
      <c r="K52" s="43" t="str">
        <f t="shared" si="1"/>
        <v>ok</v>
      </c>
      <c r="L52" s="43">
        <f>IF(J52=1,IF(J53=0,IF(DAY(Simulation!$C$11)=1,0,DAY(Simulation!$C$11)-1),0),0)</f>
        <v>0</v>
      </c>
      <c r="M52" s="40">
        <f>IF(AND(J51=1,J52=1,J53=0,DAY(Simulation!$C$11)=1),0,IF(J52=1,IF(L52&lt;&gt;0,L52,C52),0))</f>
        <v>0</v>
      </c>
      <c r="N52" s="44">
        <f t="shared" si="2"/>
        <v>0</v>
      </c>
      <c r="O52" s="45">
        <f>IF($E$33=5,(($B$25*$B$11)/365)*$C52*$E$33*$F52*Simulation!$C$10,((($B$25*$B$11)/365)*$M52*Simulation!$C$10)+(($B$25*$B$11)/365)*$N52*$F52*Simulation!$C$10)</f>
        <v>0</v>
      </c>
      <c r="P52" s="46">
        <f>IF($E$33=5,(($B$26*$B$12)/365)*$C52*$E$33*$F52*Simulation!$C$10,((($B$26*$B$12)/365)*$M52*Simulation!$C$10)+(($B$26*$B$12)/365)*$N52*$F52*Simulation!$C$10)</f>
        <v>0</v>
      </c>
      <c r="Q52" s="79">
        <f>IF($E$33=5,($E$20/365)*$C52*$E$33*$F52*Simulation!$C$10,(($E$20/365)*$M52*Simulation!$C$10)+($E$20/365)*$N52*$F52*Simulation!$C$10)</f>
        <v>0</v>
      </c>
      <c r="R52" s="79" t="e">
        <f>IF($E$33=5,($E$21*#REF!/365)*$C52*$E$33*$F52*Simulation!$C$10,(($E$21*#REF!/365)*$M52*Simulation!$C$10)+($E$21*#REF!/365)*$N52*$F52*Simulation!$C$10)</f>
        <v>#REF!</v>
      </c>
    </row>
    <row r="53" spans="1:18" s="2" customFormat="1" ht="15" x14ac:dyDescent="0.25">
      <c r="A53" s="37">
        <v>43709</v>
      </c>
      <c r="B53" s="38">
        <v>43709</v>
      </c>
      <c r="C53" s="39">
        <f>MAX(0,MIN(EOMONTH(B53,0),Simulation!$C$12)-MAX(B53,Simulation!$C$11)+1)</f>
        <v>0</v>
      </c>
      <c r="D53" s="197"/>
      <c r="E53" s="195"/>
      <c r="F53" s="39">
        <v>1</v>
      </c>
      <c r="G53" s="40">
        <f t="shared" si="0"/>
        <v>30</v>
      </c>
      <c r="H53" s="199"/>
      <c r="I53" s="41">
        <f>IF(Simulation!$C$12&gt;=$B$133,IF(AND(YEAR(Simulation!$C$11)=YEAR(A53),MONTH(A53)=MONTH(Simulation!$C$11)),1,0),0)</f>
        <v>0</v>
      </c>
      <c r="J53" s="42">
        <f>IF($H$33=0,0,IF($H$33=1,SUM(I41:I53),IF($H$33=2,SUM(I29:I53),IF($H$33=3,SUM(I20:I53),IF($H$33=4,SUM(I14:I53),"more than 4 years")))))</f>
        <v>0</v>
      </c>
      <c r="K53" s="43" t="str">
        <f t="shared" si="1"/>
        <v>ok</v>
      </c>
      <c r="L53" s="43">
        <f>IF(J53=1,IF(J54=0,IF(DAY(Simulation!$C$11)=1,0,DAY(Simulation!$C$11)-1),0),0)</f>
        <v>0</v>
      </c>
      <c r="M53" s="40">
        <f>IF(AND(J52=1,J53=1,J54=0,DAY(Simulation!$C$11)=1),0,IF(J53=1,IF(L53&lt;&gt;0,L53,C53),0))</f>
        <v>0</v>
      </c>
      <c r="N53" s="44">
        <f t="shared" si="2"/>
        <v>0</v>
      </c>
      <c r="O53" s="45">
        <f>IF($E$33=5,(($B$25*$B$11)/365)*$C53*$E$33*$F53*Simulation!$C$10,((($B$25*$B$11)/365)*$M53*Simulation!$C$10)+(($B$25*$B$11)/365)*$N53*$F53*Simulation!$C$10)</f>
        <v>0</v>
      </c>
      <c r="P53" s="46">
        <f>IF($E$33=5,(($B$26*$B$12)/365)*$C53*$E$33*$F53*Simulation!$C$10,((($B$26*$B$12)/365)*$M53*Simulation!$C$10)+(($B$26*$B$12)/365)*$N53*$F53*Simulation!$C$10)</f>
        <v>0</v>
      </c>
      <c r="Q53" s="79">
        <f>IF($E$33=5,($E$20/365)*$C53*$E$33*$F53*Simulation!$C$10,(($E$20/365)*$M53*Simulation!$C$10)+($E$20/365)*$N53*$F53*Simulation!$C$10)</f>
        <v>0</v>
      </c>
      <c r="R53" s="79" t="e">
        <f>IF($E$33=5,($E$21*#REF!/365)*$C53*$E$33*$F53*Simulation!$C$10,(($E$21*#REF!/365)*$M53*Simulation!$C$10)+($E$21*#REF!/365)*$N53*$F53*Simulation!$C$10)</f>
        <v>#REF!</v>
      </c>
    </row>
    <row r="54" spans="1:18" s="2" customFormat="1" ht="15" x14ac:dyDescent="0.25">
      <c r="A54" s="37">
        <v>43739</v>
      </c>
      <c r="B54" s="38">
        <v>43739</v>
      </c>
      <c r="C54" s="39">
        <f>MAX(0,MIN(EOMONTH(B54,0),Simulation!$C$12)-MAX(B54,Simulation!$C$11)+1)</f>
        <v>0</v>
      </c>
      <c r="D54" s="197"/>
      <c r="E54" s="195"/>
      <c r="F54" s="39">
        <v>1</v>
      </c>
      <c r="G54" s="40">
        <f t="shared" si="0"/>
        <v>31</v>
      </c>
      <c r="H54" s="199"/>
      <c r="I54" s="41">
        <f>IF(Simulation!$C$12&gt;=$B$133,IF(AND(YEAR(Simulation!$C$11)=YEAR(A54),MONTH(A54)=MONTH(Simulation!$C$11)),1,0),0)</f>
        <v>0</v>
      </c>
      <c r="J54" s="42">
        <f>IF($H$33=0,0,IF($H$33=1,SUM(I42:I54),IF($H$33=2,SUM(I30:I54),IF($H$33=3,SUM(I21:I54),IF($H$33=4,SUM(I14:I54),"more than 4 years")))))</f>
        <v>0</v>
      </c>
      <c r="K54" s="43" t="str">
        <f t="shared" si="1"/>
        <v>ok</v>
      </c>
      <c r="L54" s="43">
        <f>IF(J54=1,IF(J55=0,IF(DAY(Simulation!$C$11)=1,0,DAY(Simulation!$C$11)-1),0),0)</f>
        <v>0</v>
      </c>
      <c r="M54" s="40">
        <f>IF(AND(J53=1,J54=1,J55=0,DAY(Simulation!$C$11)=1),0,IF(J54=1,IF(L54&lt;&gt;0,L54,C54),0))</f>
        <v>0</v>
      </c>
      <c r="N54" s="44">
        <f t="shared" si="2"/>
        <v>0</v>
      </c>
      <c r="O54" s="45">
        <f>IF($E$33=5,(($B$25*$B$11)/365)*$C54*$E$33*$F54*Simulation!$C$10,((($B$25*$B$11)/365)*$M54*Simulation!$C$10)+(($B$25*$B$11)/365)*$N54*$F54*Simulation!$C$10)</f>
        <v>0</v>
      </c>
      <c r="P54" s="46">
        <f>IF($E$33=5,(($B$26*$B$12)/365)*$C54*$E$33*$F54*Simulation!$C$10,((($B$26*$B$12)/365)*$M54*Simulation!$C$10)+(($B$26*$B$12)/365)*$N54*$F54*Simulation!$C$10)</f>
        <v>0</v>
      </c>
      <c r="Q54" s="79">
        <f>IF($E$33=5,($E$20/365)*$C54*$E$33*$F54*Simulation!$C$10,(($E$20/365)*$M54*Simulation!$C$10)+($E$20/365)*$N54*$F54*Simulation!$C$10)</f>
        <v>0</v>
      </c>
      <c r="R54" s="79" t="e">
        <f>IF($E$33=5,($E$21*#REF!/365)*$C54*$E$33*$F54*Simulation!$C$10,(($E$21*#REF!/365)*$M54*Simulation!$C$10)+($E$21*#REF!/365)*$N54*$F54*Simulation!$C$10)</f>
        <v>#REF!</v>
      </c>
    </row>
    <row r="55" spans="1:18" s="2" customFormat="1" ht="15" x14ac:dyDescent="0.25">
      <c r="A55" s="37">
        <v>43770</v>
      </c>
      <c r="B55" s="38">
        <v>43770</v>
      </c>
      <c r="C55" s="39">
        <f>MAX(0,MIN(EOMONTH(B55,0),Simulation!$C$12)-MAX(B55,Simulation!$C$11)+1)</f>
        <v>0</v>
      </c>
      <c r="D55" s="197"/>
      <c r="E55" s="195"/>
      <c r="F55" s="39">
        <v>1</v>
      </c>
      <c r="G55" s="40">
        <f t="shared" si="0"/>
        <v>30</v>
      </c>
      <c r="H55" s="199"/>
      <c r="I55" s="41">
        <f>IF(Simulation!$C$12&gt;=$B$133,IF(AND(YEAR(Simulation!$C$11)=YEAR(A55),MONTH(A55)=MONTH(Simulation!$C$11)),1,0),0)</f>
        <v>0</v>
      </c>
      <c r="J55" s="42">
        <f>IF($H$33=0,0,IF($H$33=1,SUM(I43:I55),IF($H$33=2,SUM(I31:I55),IF($H$33=3,SUM(I21:I55),IF($H$33=4,SUM(I14:I55),"more than 4 years")))))</f>
        <v>0</v>
      </c>
      <c r="K55" s="43" t="str">
        <f t="shared" si="1"/>
        <v>ok</v>
      </c>
      <c r="L55" s="43">
        <f>IF(J55=1,IF(J56=0,IF(DAY(Simulation!$C$11)=1,0,DAY(Simulation!$C$11)-1),0),0)</f>
        <v>0</v>
      </c>
      <c r="M55" s="40">
        <f>IF(AND(J54=1,J55=1,J56=0,DAY(Simulation!$C$11)=1),0,IF(J55=1,IF(L55&lt;&gt;0,L55,C55),0))</f>
        <v>0</v>
      </c>
      <c r="N55" s="44">
        <f t="shared" si="2"/>
        <v>0</v>
      </c>
      <c r="O55" s="45">
        <f>IF($E$33=5,(($B$25*$B$11)/365)*$C55*$E$33*$F55*Simulation!$C$10,((($B$25*$B$11)/365)*$M55*Simulation!$C$10)+(($B$25*$B$11)/365)*$N55*$F55*Simulation!$C$10)</f>
        <v>0</v>
      </c>
      <c r="P55" s="46">
        <f>IF($E$33=5,(($B$26*$B$12)/365)*$C55*$E$33*$F55*Simulation!$C$10,((($B$26*$B$12)/365)*$M55*Simulation!$C$10)+(($B$26*$B$12)/365)*$N55*$F55*Simulation!$C$10)</f>
        <v>0</v>
      </c>
      <c r="Q55" s="79">
        <f>IF($E$33=5,($E$20/365)*$C55*$E$33*$F55*Simulation!$C$10,(($E$20/365)*$M55*Simulation!$C$10)+($E$20/365)*$N55*$F55*Simulation!$C$10)</f>
        <v>0</v>
      </c>
      <c r="R55" s="79" t="e">
        <f>IF($E$33=5,($E$21*#REF!/365)*$C55*$E$33*$F55*Simulation!$C$10,(($E$21*#REF!/365)*$M55*Simulation!$C$10)+($E$21*#REF!/365)*$N55*$F55*Simulation!$C$10)</f>
        <v>#REF!</v>
      </c>
    </row>
    <row r="56" spans="1:18" s="2" customFormat="1" ht="15" x14ac:dyDescent="0.25">
      <c r="A56" s="37">
        <v>43800</v>
      </c>
      <c r="B56" s="38">
        <v>43800</v>
      </c>
      <c r="C56" s="39">
        <f>MAX(0,MIN(EOMONTH(B56,0),Simulation!$C$12)-MAX(B56,Simulation!$C$11)+1)</f>
        <v>0</v>
      </c>
      <c r="D56" s="197"/>
      <c r="E56" s="195"/>
      <c r="F56" s="39">
        <v>1</v>
      </c>
      <c r="G56" s="40">
        <f t="shared" si="0"/>
        <v>31</v>
      </c>
      <c r="H56" s="199"/>
      <c r="I56" s="41">
        <f>IF(Simulation!$C$12&gt;=$B$133,IF(AND(YEAR(Simulation!$C$11)=YEAR(A56),MONTH(A56)=MONTH(Simulation!$C$11)),1,0),0)</f>
        <v>0</v>
      </c>
      <c r="J56" s="42">
        <f>IF($H$33=0,0,IF($H$33=1,SUM(I44:I56),IF($H$33=2,SUM(I32:I56),IF($H$33=3,SUM(I22:I56),IF($H$33=4,SUM(I14:I56),"more than 4 years")))))</f>
        <v>0</v>
      </c>
      <c r="K56" s="43" t="str">
        <f t="shared" si="1"/>
        <v>ok</v>
      </c>
      <c r="L56" s="43">
        <f>IF(J56=1,IF(J57=0,IF(DAY(Simulation!$C$11)=1,0,DAY(Simulation!$C$11)-1),0),0)</f>
        <v>0</v>
      </c>
      <c r="M56" s="40">
        <f>IF(AND(J55=1,J56=1,J57=0,DAY(Simulation!$C$11)=1),0,IF(J56=1,IF(L56&lt;&gt;0,L56,C56),0))</f>
        <v>0</v>
      </c>
      <c r="N56" s="44">
        <f t="shared" si="2"/>
        <v>0</v>
      </c>
      <c r="O56" s="45">
        <f>IF($E$33=5,(($B$25*$B$11)/365)*$C56*$E$33*$F56*Simulation!$C$10,((($B$25*$B$11)/365)*$M56*Simulation!$C$10)+(($B$25*$B$11)/365)*$N56*$F56*Simulation!$C$10)</f>
        <v>0</v>
      </c>
      <c r="P56" s="46">
        <f>IF($E$33=5,(($B$26*$B$12)/365)*$C56*$E$33*$F56*Simulation!$C$10,((($B$26*$B$12)/365)*$M56*Simulation!$C$10)+(($B$26*$B$12)/365)*$N56*$F56*Simulation!$C$10)</f>
        <v>0</v>
      </c>
      <c r="Q56" s="79">
        <f>IF($E$33=5,($E$20/365)*$C56*$E$33*$F56*Simulation!$C$10,(($E$20/365)*$M56*Simulation!$C$10)+($E$20/365)*$N56*$F56*Simulation!$C$10)</f>
        <v>0</v>
      </c>
      <c r="R56" s="79" t="e">
        <f>IF($E$33=5,($E$21*#REF!/365)*$C56*$E$33*$F56*Simulation!$C$10,(($E$21*#REF!/365)*$M56*Simulation!$C$10)+($E$21*#REF!/365)*$N56*$F56*Simulation!$C$10)</f>
        <v>#REF!</v>
      </c>
    </row>
    <row r="57" spans="1:18" s="2" customFormat="1" ht="15" x14ac:dyDescent="0.25">
      <c r="A57" s="37">
        <v>43831</v>
      </c>
      <c r="B57" s="38">
        <v>43831</v>
      </c>
      <c r="C57" s="39">
        <f>MAX(0,MIN(EOMONTH(B57,0),Simulation!$C$12)-MAX(B57,Simulation!$C$11)+1)</f>
        <v>0</v>
      </c>
      <c r="D57" s="197"/>
      <c r="E57" s="195"/>
      <c r="F57" s="39">
        <v>1</v>
      </c>
      <c r="G57" s="40">
        <f t="shared" si="0"/>
        <v>31</v>
      </c>
      <c r="H57" s="199"/>
      <c r="I57" s="41">
        <f>IF(Simulation!$C$12&gt;=$B$133,IF(AND(YEAR(Simulation!$C$11)=YEAR(A57),MONTH(A57)=MONTH(Simulation!$C$11)),1,0),0)</f>
        <v>0</v>
      </c>
      <c r="J57" s="42">
        <f>IF($H$33=0,0,IF($H$33=1,SUM(I45:I57),IF($H$33=2,SUM(I33:I57),IF($H$33=3,SUM(I22:I57),IF($H$33=4,SUM(I14:I57),"more than 4 years")))))</f>
        <v>0</v>
      </c>
      <c r="K57" s="43" t="str">
        <f t="shared" si="1"/>
        <v>ok</v>
      </c>
      <c r="L57" s="43">
        <f>IF(J57=1,IF(J58=0,IF(DAY(Simulation!$C$11)=1,0,DAY(Simulation!$C$11)-1),0),0)</f>
        <v>0</v>
      </c>
      <c r="M57" s="40">
        <f>IF(AND(J56=1,J57=1,J58=0,DAY(Simulation!$C$11)=1),0,IF(J57=1,IF(L57&lt;&gt;0,L57,C57),0))</f>
        <v>0</v>
      </c>
      <c r="N57" s="44">
        <f t="shared" si="2"/>
        <v>0</v>
      </c>
      <c r="O57" s="45">
        <f>IF($E$33=5,(($B$25*$B$11)/365)*$C57*$E$33*$F57*Simulation!$C$10,((($B$25*$B$11)/365)*$M57*Simulation!$C$10)+(($B$25*$B$11)/365)*$N57*$F57*Simulation!$C$10)</f>
        <v>0</v>
      </c>
      <c r="P57" s="46">
        <f>IF($E$33=5,(($B$26*$B$12)/365)*$C57*$E$33*$F57*Simulation!$C$10,((($B$26*$B$12)/365)*$M57*Simulation!$C$10)+(($B$26*$B$12)/365)*$N57*$F57*Simulation!$C$10)</f>
        <v>0</v>
      </c>
      <c r="Q57" s="79">
        <f>IF($E$33=5,($E$20/365)*$C57*$E$33*$F57*Simulation!$C$10,(($E$20/365)*$M57*Simulation!$C$10)+($E$20/365)*$N57*$F57*Simulation!$C$10)</f>
        <v>0</v>
      </c>
      <c r="R57" s="79" t="e">
        <f>IF($E$33=5,($E$21*#REF!/365)*$C57*$E$33*$F57*Simulation!$C$10,(($E$21*#REF!/365)*$M57*Simulation!$C$10)+($E$21*#REF!/365)*$N57*$F57*Simulation!$C$10)</f>
        <v>#REF!</v>
      </c>
    </row>
    <row r="58" spans="1:18" s="2" customFormat="1" ht="15" x14ac:dyDescent="0.25">
      <c r="A58" s="37">
        <v>43862</v>
      </c>
      <c r="B58" s="38">
        <v>43862</v>
      </c>
      <c r="C58" s="39">
        <f>MAX(0,MIN(EOMONTH(B58,0),Simulation!$C$12)-MAX(B58,Simulation!$C$11)+1)</f>
        <v>0</v>
      </c>
      <c r="D58" s="197"/>
      <c r="E58" s="195"/>
      <c r="F58" s="39">
        <v>1</v>
      </c>
      <c r="G58" s="40">
        <f t="shared" si="0"/>
        <v>29</v>
      </c>
      <c r="H58" s="199"/>
      <c r="I58" s="41">
        <f>IF(Simulation!$C$12&gt;=$B$133,IF(AND(YEAR(Simulation!$C$11)=YEAR(A58),MONTH(A58)=MONTH(Simulation!$C$11)),1,0),0)</f>
        <v>0</v>
      </c>
      <c r="J58" s="42">
        <f>IF($H$33=0,0,IF($H$33=1,SUM(I46:I58),IF($H$33=2,SUM(I34:I58),IF($H$33=3,SUM(I23:I58),IF($H$33=4,SUM(I15:I58),"more than 4 years")))))</f>
        <v>0</v>
      </c>
      <c r="K58" s="43" t="str">
        <f t="shared" si="1"/>
        <v>ok</v>
      </c>
      <c r="L58" s="43">
        <f>IF(J58=1,IF(J59=0,IF(DAY(Simulation!$C$11)=1,0,DAY(Simulation!$C$11)-1),0),0)</f>
        <v>0</v>
      </c>
      <c r="M58" s="40">
        <f>IF(AND(J57=1,J58=1,J59=0,DAY(Simulation!$C$11)=1),0,IF(J58=1,IF(L58&lt;&gt;0,L58,C58),0))</f>
        <v>0</v>
      </c>
      <c r="N58" s="44">
        <f t="shared" si="2"/>
        <v>0</v>
      </c>
      <c r="O58" s="45">
        <f>IF($E$33=5,(($B$25*$B$11)/365)*$C58*$E$33*$F58*Simulation!$C$10,((($B$25*$B$11)/365)*$M58*Simulation!$C$10)+(($B$25*$B$11)/365)*$N58*$F58*Simulation!$C$10)</f>
        <v>0</v>
      </c>
      <c r="P58" s="46">
        <f>IF($E$33=5,(($B$26*$B$12)/365)*$C58*$E$33*$F58*Simulation!$C$10,((($B$26*$B$12)/365)*$M58*Simulation!$C$10)+(($B$26*$B$12)/365)*$N58*$F58*Simulation!$C$10)</f>
        <v>0</v>
      </c>
      <c r="Q58" s="79">
        <f>IF($E$33=5,($E$20/365)*$C58*$E$33*$F58*Simulation!$C$10,(($E$20/365)*$M58*Simulation!$C$10)+($E$20/365)*$N58*$F58*Simulation!$C$10)</f>
        <v>0</v>
      </c>
      <c r="R58" s="79" t="e">
        <f>IF($E$33=5,($E$21*#REF!/365)*$C58*$E$33*$F58*Simulation!$C$10,(($E$21*#REF!/365)*$M58*Simulation!$C$10)+($E$21*#REF!/365)*$N58*$F58*Simulation!$C$10)</f>
        <v>#REF!</v>
      </c>
    </row>
    <row r="59" spans="1:18" s="2" customFormat="1" ht="15" x14ac:dyDescent="0.25">
      <c r="A59" s="37">
        <v>43891</v>
      </c>
      <c r="B59" s="38">
        <v>43891</v>
      </c>
      <c r="C59" s="39">
        <f>MAX(0,MIN(EOMONTH(B59,0),Simulation!$C$12)-MAX(B59,Simulation!$C$11)+1)</f>
        <v>0</v>
      </c>
      <c r="D59" s="197"/>
      <c r="E59" s="195"/>
      <c r="F59" s="39">
        <v>1</v>
      </c>
      <c r="G59" s="40">
        <f t="shared" si="0"/>
        <v>31</v>
      </c>
      <c r="H59" s="199"/>
      <c r="I59" s="41">
        <f>IF(Simulation!$C$12&gt;=$B$133,IF(AND(YEAR(Simulation!$C$11)=YEAR(A59),MONTH(A59)=MONTH(Simulation!$C$11)),1,0),0)</f>
        <v>0</v>
      </c>
      <c r="J59" s="42">
        <f>IF($H$33=0,0,IF($H$33=1,SUM(I47:I59),IF($H$33=2,SUM(I35:I59),IF($H$33=3,SUM(I24:I59),IF($H$33=4,SUM(I15:I59),"more than 4 years")))))</f>
        <v>0</v>
      </c>
      <c r="K59" s="43" t="str">
        <f t="shared" si="1"/>
        <v>ok</v>
      </c>
      <c r="L59" s="43">
        <f>IF(J59=1,IF(J60=0,IF(DAY(Simulation!$C$11)=1,0,DAY(Simulation!$C$11)-1),0),0)</f>
        <v>0</v>
      </c>
      <c r="M59" s="40">
        <f>IF(AND(J58=1,J59=1,J60=0,DAY(Simulation!$C$11)=1),0,IF(J59=1,IF(L59&lt;&gt;0,L59,C59),0))</f>
        <v>0</v>
      </c>
      <c r="N59" s="44">
        <f t="shared" si="2"/>
        <v>0</v>
      </c>
      <c r="O59" s="45">
        <f>IF($E$33=5,(($B$25*$B$11)/365)*$C59*$E$33*$F59*Simulation!$C$10,((($B$25*$B$11)/365)*$M59*Simulation!$C$10)+(($B$25*$B$11)/365)*$N59*$F59*Simulation!$C$10)</f>
        <v>0</v>
      </c>
      <c r="P59" s="46">
        <f>IF($E$33=5,(($B$26*$B$12)/365)*$C59*$E$33*$F59*Simulation!$C$10,((($B$26*$B$12)/365)*$M59*Simulation!$C$10)+(($B$26*$B$12)/365)*$N59*$F59*Simulation!$C$10)</f>
        <v>0</v>
      </c>
      <c r="Q59" s="79">
        <f>IF($E$33=5,($E$20/365)*$C59*$E$33*$F59*Simulation!$C$10,(($E$20/365)*$M59*Simulation!$C$10)+($E$20/365)*$N59*$F59*Simulation!$C$10)</f>
        <v>0</v>
      </c>
      <c r="R59" s="79" t="e">
        <f>IF($E$33=5,($E$21*#REF!/365)*$C59*$E$33*$F59*Simulation!$C$10,(($E$21*#REF!/365)*$M59*Simulation!$C$10)+($E$21*#REF!/365)*$N59*$F59*Simulation!$C$10)</f>
        <v>#REF!</v>
      </c>
    </row>
    <row r="60" spans="1:18" s="2" customFormat="1" ht="15" x14ac:dyDescent="0.25">
      <c r="A60" s="37">
        <v>43922</v>
      </c>
      <c r="B60" s="38">
        <v>43922</v>
      </c>
      <c r="C60" s="39">
        <f>MAX(0,MIN(EOMONTH(B60,0),Simulation!$C$12)-MAX(B60,Simulation!$C$11)+1)</f>
        <v>0</v>
      </c>
      <c r="D60" s="197"/>
      <c r="E60" s="195"/>
      <c r="F60" s="39">
        <v>1</v>
      </c>
      <c r="G60" s="40">
        <f t="shared" si="0"/>
        <v>30</v>
      </c>
      <c r="H60" s="199"/>
      <c r="I60" s="41">
        <f>IF(Simulation!$C$12&gt;=$B$133,IF(AND(YEAR(Simulation!$C$11)=YEAR(A60),MONTH(A60)=MONTH(Simulation!$C$11)),1,0),0)</f>
        <v>0</v>
      </c>
      <c r="J60" s="42">
        <f>IF($H$33=0,0,IF($H$33=1,SUM(I48:I60),IF($H$33=2,SUM(I36:I60),IF($H$33=3,SUM(I25:I60),IF($H$33=4,SUM(I15:I60),"more than 4 years")))))</f>
        <v>0</v>
      </c>
      <c r="K60" s="43" t="str">
        <f t="shared" si="1"/>
        <v>ok</v>
      </c>
      <c r="L60" s="43">
        <f>IF(J60=1,IF(J61=0,IF(DAY(Simulation!$C$11)=1,0,DAY(Simulation!$C$11)-1),0),0)</f>
        <v>0</v>
      </c>
      <c r="M60" s="40">
        <f>IF(AND(J59=1,J60=1,J61=0,DAY(Simulation!$C$11)=1),0,IF(J60=1,IF(L60&lt;&gt;0,L60,C60),0))</f>
        <v>0</v>
      </c>
      <c r="N60" s="44">
        <f t="shared" si="2"/>
        <v>0</v>
      </c>
      <c r="O60" s="45">
        <f>IF($E$33=5,(($B$25*$B$11)/365)*$C60*$E$33*$F60*Simulation!$C$10,((($B$25*$B$11)/365)*$M60*Simulation!$C$10)+(($B$25*$B$11)/365)*$N60*$F60*Simulation!$C$10)</f>
        <v>0</v>
      </c>
      <c r="P60" s="46">
        <f>IF($E$33=5,(($B$26*$B$12)/365)*$C60*$E$33*$F60*Simulation!$C$10,((($B$26*$B$12)/365)*$M60*Simulation!$C$10)+(($B$26*$B$12)/365)*$N60*$F60*Simulation!$C$10)</f>
        <v>0</v>
      </c>
      <c r="Q60" s="79">
        <f>IF($E$33=5,($E$20/365)*$C60*$E$33*$F60*Simulation!$C$10,(($E$20/365)*$M60*Simulation!$C$10)+($E$20/365)*$N60*$F60*Simulation!$C$10)</f>
        <v>0</v>
      </c>
      <c r="R60" s="79" t="e">
        <f>IF($E$33=5,($E$21*#REF!/365)*$C60*$E$33*$F60*Simulation!$C$10,(($E$21*#REF!/365)*$M60*Simulation!$C$10)+($E$21*#REF!/365)*$N60*$F60*Simulation!$C$10)</f>
        <v>#REF!</v>
      </c>
    </row>
    <row r="61" spans="1:18" s="2" customFormat="1" ht="15" x14ac:dyDescent="0.25">
      <c r="A61" s="37">
        <v>43952</v>
      </c>
      <c r="B61" s="38">
        <v>43952</v>
      </c>
      <c r="C61" s="39">
        <f>MAX(0,MIN(EOMONTH(B61,0),Simulation!$C$12)-MAX(B61,Simulation!$C$11)+1)</f>
        <v>0</v>
      </c>
      <c r="D61" s="197"/>
      <c r="E61" s="195"/>
      <c r="F61" s="39">
        <v>1</v>
      </c>
      <c r="G61" s="40">
        <f t="shared" si="0"/>
        <v>31</v>
      </c>
      <c r="H61" s="199"/>
      <c r="I61" s="41">
        <f>IF(Simulation!$C$12&gt;=$B$133,IF(AND(YEAR(Simulation!$C$11)=YEAR(A61),MONTH(A61)=MONTH(Simulation!$C$11)),1,0),0)</f>
        <v>0</v>
      </c>
      <c r="J61" s="42">
        <f>IF($H$33=0,0,IF($H$33=1,SUM(I49:I61),IF($H$33=2,SUM(I37:I61),IF($H$33=3,SUM(I27:I61),IF($H$33=4,SUM(I16:I61),"more than 4 years")))))</f>
        <v>0</v>
      </c>
      <c r="K61" s="43" t="str">
        <f t="shared" si="1"/>
        <v>ok</v>
      </c>
      <c r="L61" s="43">
        <f>IF(J61=1,IF(J62=0,IF(DAY(Simulation!$C$11)=1,0,DAY(Simulation!$C$11)-1),0),0)</f>
        <v>0</v>
      </c>
      <c r="M61" s="40">
        <f>IF(AND(J60=1,J61=1,J62=0,DAY(Simulation!$C$11)=1),0,IF(J61=1,IF(L61&lt;&gt;0,L61,C61),0))</f>
        <v>0</v>
      </c>
      <c r="N61" s="44">
        <f t="shared" si="2"/>
        <v>0</v>
      </c>
      <c r="O61" s="45">
        <f>IF($E$33=5,(($B$25*$B$11)/365)*$C61*$E$33*$F61*Simulation!$C$10,((($B$25*$B$11)/365)*$M61*Simulation!$C$10)+(($B$25*$B$11)/365)*$N61*$F61*Simulation!$C$10)</f>
        <v>0</v>
      </c>
      <c r="P61" s="46">
        <f>IF($E$33=5,(($B$26*$B$12)/365)*$C61*$E$33*$F61*Simulation!$C$10,((($B$26*$B$12)/365)*$M61*Simulation!$C$10)+(($B$26*$B$12)/365)*$N61*$F61*Simulation!$C$10)</f>
        <v>0</v>
      </c>
      <c r="Q61" s="79">
        <f>IF($E$33=5,($E$20/365)*$C61*$E$33*$F61*Simulation!$C$10,(($E$20/365)*$M61*Simulation!$C$10)+($E$20/365)*$N61*$F61*Simulation!$C$10)</f>
        <v>0</v>
      </c>
      <c r="R61" s="79" t="e">
        <f>IF($E$33=5,($E$21*#REF!/365)*$C61*$E$33*$F61*Simulation!$C$10,(($E$21*#REF!/365)*$M61*Simulation!$C$10)+($E$21*#REF!/365)*$N61*$F61*Simulation!$C$10)</f>
        <v>#REF!</v>
      </c>
    </row>
    <row r="62" spans="1:18" s="2" customFormat="1" ht="15" x14ac:dyDescent="0.25">
      <c r="A62" s="37">
        <v>43983</v>
      </c>
      <c r="B62" s="38">
        <v>43983</v>
      </c>
      <c r="C62" s="39">
        <f>MAX(0,MIN(EOMONTH(B62,0),Simulation!$C$12)-MAX(B62,Simulation!$C$11)+1)</f>
        <v>0</v>
      </c>
      <c r="D62" s="197"/>
      <c r="E62" s="195"/>
      <c r="F62" s="39">
        <v>1</v>
      </c>
      <c r="G62" s="40">
        <f t="shared" si="0"/>
        <v>30</v>
      </c>
      <c r="H62" s="199"/>
      <c r="I62" s="41">
        <f>IF(Simulation!$C$12&gt;=$B$133,IF(AND(YEAR(Simulation!$C$11)=YEAR(A62),MONTH(A62)=MONTH(Simulation!$C$11)),1,0),0)</f>
        <v>0</v>
      </c>
      <c r="J62" s="42">
        <f>IF($H$33=0,0,IF($H$33=1,SUM(I50:I62),IF($H$33=2,SUM(I38:I62),IF($H$33=3,SUM(I27:I62),IF($H$33=4,SUM(I17:I62),"more than 4 years")))))</f>
        <v>0</v>
      </c>
      <c r="K62" s="43" t="str">
        <f t="shared" si="1"/>
        <v>ok</v>
      </c>
      <c r="L62" s="43">
        <f>IF(J62=1,IF(J63=0,IF(DAY(Simulation!$C$11)=1,0,DAY(Simulation!$C$11)-1),0),0)</f>
        <v>0</v>
      </c>
      <c r="M62" s="40">
        <f>IF(AND(J61=1,J62=1,J63=0,DAY(Simulation!$C$11)=1),0,IF(J62=1,IF(L62&lt;&gt;0,L62,C62),0))</f>
        <v>0</v>
      </c>
      <c r="N62" s="44">
        <f t="shared" si="2"/>
        <v>0</v>
      </c>
      <c r="O62" s="45">
        <f>IF($E$33=5,(($B$25*$B$11)/365)*$C62*$E$33*$F62*Simulation!$C$10,((($B$25*$B$11)/365)*$M62*Simulation!$C$10)+(($B$25*$B$11)/365)*$N62*$F62*Simulation!$C$10)</f>
        <v>0</v>
      </c>
      <c r="P62" s="46">
        <f>IF($E$33=5,(($B$26*$B$12)/365)*$C62*$E$33*$F62*Simulation!$C$10,((($B$26*$B$12)/365)*$M62*Simulation!$C$10)+(($B$26*$B$12)/365)*$N62*$F62*Simulation!$C$10)</f>
        <v>0</v>
      </c>
      <c r="Q62" s="79">
        <f>IF($E$33=5,($E$20/365)*$C62*$E$33*$F62*Simulation!$C$10,(($E$20/365)*$M62*Simulation!$C$10)+($E$20/365)*$N62*$F62*Simulation!$C$10)</f>
        <v>0</v>
      </c>
      <c r="R62" s="79" t="e">
        <f>IF($E$33=5,($E$21*#REF!/365)*$C62*$E$33*$F62*Simulation!$C$10,(($E$21*#REF!/365)*$M62*Simulation!$C$10)+($E$21*#REF!/365)*$N62*$F62*Simulation!$C$10)</f>
        <v>#REF!</v>
      </c>
    </row>
    <row r="63" spans="1:18" s="2" customFormat="1" ht="15" x14ac:dyDescent="0.25">
      <c r="A63" s="37">
        <v>44013</v>
      </c>
      <c r="B63" s="38">
        <v>44013</v>
      </c>
      <c r="C63" s="39">
        <f>MAX(0,MIN(EOMONTH(B63,0),Simulation!$C$12)-MAX(B63,Simulation!$C$11)+1)</f>
        <v>0</v>
      </c>
      <c r="D63" s="197"/>
      <c r="E63" s="195"/>
      <c r="F63" s="39">
        <v>1</v>
      </c>
      <c r="G63" s="40">
        <f t="shared" si="0"/>
        <v>31</v>
      </c>
      <c r="H63" s="199"/>
      <c r="I63" s="41">
        <f>IF(Simulation!$C$12&gt;=$B$133,IF(AND(YEAR(Simulation!$C$11)=YEAR(A63),MONTH(A63)=MONTH(Simulation!$C$11)),1,0),0)</f>
        <v>0</v>
      </c>
      <c r="J63" s="42">
        <f>IF($H$33=0,0,IF($H$33=1,SUM(I51:I63),IF($H$33=2,SUM(I39:I63),IF($H$33=3,SUM(I27:I63),IF($H$33=4,SUM(I18:I63),"more than 4 years")))))</f>
        <v>0</v>
      </c>
      <c r="K63" s="43" t="str">
        <f t="shared" si="1"/>
        <v>ok</v>
      </c>
      <c r="L63" s="43">
        <f>IF(J63=1,IF(J64=0,IF(DAY(Simulation!$C$11)=1,0,DAY(Simulation!$C$11)-1),0),0)</f>
        <v>0</v>
      </c>
      <c r="M63" s="40">
        <f>IF(AND(J62=1,J63=1,J64=0,DAY(Simulation!$C$11)=1),0,IF(J63=1,IF(L63&lt;&gt;0,L63,C63),0))</f>
        <v>0</v>
      </c>
      <c r="N63" s="44">
        <f t="shared" si="2"/>
        <v>0</v>
      </c>
      <c r="O63" s="45">
        <f>IF($E$33=5,(($B$25*$B$11)/365)*$C63*$E$33*$F63*Simulation!$C$10,((($B$25*$B$11)/365)*$M63*Simulation!$C$10)+(($B$25*$B$11)/365)*$N63*$F63*Simulation!$C$10)</f>
        <v>0</v>
      </c>
      <c r="P63" s="46">
        <f>IF($E$33=5,(($B$26*$B$12)/365)*$C63*$E$33*$F63*Simulation!$C$10,((($B$26*$B$12)/365)*$M63*Simulation!$C$10)+(($B$26*$B$12)/365)*$N63*$F63*Simulation!$C$10)</f>
        <v>0</v>
      </c>
      <c r="Q63" s="79">
        <f>IF($E$33=5,($E$20/365)*$C63*$E$33*$F63*Simulation!$C$10,(($E$20/365)*$M63*Simulation!$C$10)+($E$20/365)*$N63*$F63*Simulation!$C$10)</f>
        <v>0</v>
      </c>
      <c r="R63" s="79" t="e">
        <f>IF($E$33=5,($E$21*#REF!/365)*$C63*$E$33*$F63*Simulation!$C$10,(($E$21*#REF!/365)*$M63*Simulation!$C$10)+($E$21*#REF!/365)*$N63*$F63*Simulation!$C$10)</f>
        <v>#REF!</v>
      </c>
    </row>
    <row r="64" spans="1:18" s="2" customFormat="1" ht="15" x14ac:dyDescent="0.25">
      <c r="A64" s="37">
        <v>44044</v>
      </c>
      <c r="B64" s="38">
        <v>44044</v>
      </c>
      <c r="C64" s="39">
        <f>MAX(0,MIN(EOMONTH(B64,0),Simulation!$C$12)-MAX(B64,Simulation!$C$11)+1)</f>
        <v>0</v>
      </c>
      <c r="D64" s="197"/>
      <c r="E64" s="195"/>
      <c r="F64" s="39">
        <v>1</v>
      </c>
      <c r="G64" s="40">
        <f t="shared" si="0"/>
        <v>31</v>
      </c>
      <c r="H64" s="199"/>
      <c r="I64" s="41">
        <f>IF(Simulation!$C$12&gt;=$B$133,IF(AND(YEAR(Simulation!$C$11)=YEAR(A64),MONTH(A64)=MONTH(Simulation!$C$11)),1,0),0)</f>
        <v>0</v>
      </c>
      <c r="J64" s="42">
        <f>IF($H$33=0,0,IF($H$33=1,SUM(I52:I64),IF($H$33=2,SUM(I40:I64),IF($H$33=3,SUM(I28:I64),IF($H$33=4,SUM(I19:I64),"more than 4 years")))))</f>
        <v>0</v>
      </c>
      <c r="K64" s="43" t="str">
        <f t="shared" si="1"/>
        <v>ok</v>
      </c>
      <c r="L64" s="43">
        <f>IF(J64=1,IF(J65=0,IF(DAY(Simulation!$C$11)=1,0,DAY(Simulation!$C$11)-1),0),0)</f>
        <v>0</v>
      </c>
      <c r="M64" s="40">
        <f>IF(AND(J63=1,J64=1,J65=0,DAY(Simulation!$C$11)=1),0,IF(J64=1,IF(L64&lt;&gt;0,L64,C64),0))</f>
        <v>0</v>
      </c>
      <c r="N64" s="44">
        <f t="shared" si="2"/>
        <v>0</v>
      </c>
      <c r="O64" s="45">
        <f>IF($E$33=5,(($B$25*$B$11)/365)*$C64*$E$33*$F64*Simulation!$C$10,((($B$25*$B$11)/365)*$M64*Simulation!$C$10)+(($B$25*$B$11)/365)*$N64*$F64*Simulation!$C$10)</f>
        <v>0</v>
      </c>
      <c r="P64" s="46">
        <f>IF($E$33=5,(($B$26*$B$12)/365)*$C64*$E$33*$F64*Simulation!$C$10,((($B$26*$B$12)/365)*$M64*Simulation!$C$10)+(($B$26*$B$12)/365)*$N64*$F64*Simulation!$C$10)</f>
        <v>0</v>
      </c>
      <c r="Q64" s="79">
        <f>IF($E$33=5,($E$20/365)*$C64*$E$33*$F64*Simulation!$C$10,(($E$20/365)*$M64*Simulation!$C$10)+($E$20/365)*$N64*$F64*Simulation!$C$10)</f>
        <v>0</v>
      </c>
      <c r="R64" s="79" t="e">
        <f>IF($E$33=5,($E$21*#REF!/365)*$C64*$E$33*$F64*Simulation!$C$10,(($E$21*#REF!/365)*$M64*Simulation!$C$10)+($E$21*#REF!/365)*$N64*$F64*Simulation!$C$10)</f>
        <v>#REF!</v>
      </c>
    </row>
    <row r="65" spans="1:18" s="2" customFormat="1" ht="15" x14ac:dyDescent="0.25">
      <c r="A65" s="37">
        <v>44075</v>
      </c>
      <c r="B65" s="38">
        <v>44075</v>
      </c>
      <c r="C65" s="39">
        <f>MAX(0,MIN(EOMONTH(B65,0),Simulation!$C$12)-MAX(B65,Simulation!$C$11)+1)</f>
        <v>0</v>
      </c>
      <c r="D65" s="197"/>
      <c r="E65" s="195"/>
      <c r="F65" s="39">
        <v>1</v>
      </c>
      <c r="G65" s="40">
        <f t="shared" si="0"/>
        <v>30</v>
      </c>
      <c r="H65" s="199"/>
      <c r="I65" s="41">
        <f>IF(Simulation!$C$12&gt;=$B$133,IF(AND(YEAR(Simulation!$C$11)=YEAR(A65),MONTH(A65)=MONTH(Simulation!$C$11)),1,0),0)</f>
        <v>0</v>
      </c>
      <c r="J65" s="42">
        <f>IF($H$33=0,0,IF($H$33=1,SUM(I53:I65),IF($H$33=2,SUM(I41:I65),IF($H$33=3,SUM(I29:I65),IF($H$33=4,SUM(I20:I65),"more than 4 years")))))</f>
        <v>0</v>
      </c>
      <c r="K65" s="43" t="str">
        <f t="shared" si="1"/>
        <v>ok</v>
      </c>
      <c r="L65" s="43">
        <f>IF(J65=1,IF(J66=0,IF(DAY(Simulation!$C$11)=1,0,DAY(Simulation!$C$11)-1),0),0)</f>
        <v>0</v>
      </c>
      <c r="M65" s="40">
        <f>IF(AND(J64=1,J65=1,J66=0,DAY(Simulation!$C$11)=1),0,IF(J65=1,IF(L65&lt;&gt;0,L65,C65),0))</f>
        <v>0</v>
      </c>
      <c r="N65" s="44">
        <f t="shared" si="2"/>
        <v>0</v>
      </c>
      <c r="O65" s="45">
        <f>IF($E$33=5,(($B$25*$B$11)/365)*$C65*$E$33*$F65*Simulation!$C$10,((($B$25*$B$11)/365)*$M65*Simulation!$C$10)+(($B$25*$B$11)/365)*$N65*$F65*Simulation!$C$10)</f>
        <v>0</v>
      </c>
      <c r="P65" s="46">
        <f>IF($E$33=5,(($B$26*$B$12)/365)*$C65*$E$33*$F65*Simulation!$C$10,((($B$26*$B$12)/365)*$M65*Simulation!$C$10)+(($B$26*$B$12)/365)*$N65*$F65*Simulation!$C$10)</f>
        <v>0</v>
      </c>
      <c r="Q65" s="79">
        <f>IF($E$33=5,($E$20/365)*$C65*$E$33*$F65*Simulation!$C$10,(($E$20/365)*$M65*Simulation!$C$10)+($E$20/365)*$N65*$F65*Simulation!$C$10)</f>
        <v>0</v>
      </c>
      <c r="R65" s="79" t="e">
        <f>IF($E$33=5,($E$21*#REF!/365)*$C65*$E$33*$F65*Simulation!$C$10,(($E$21*#REF!/365)*$M65*Simulation!$C$10)+($E$21*#REF!/365)*$N65*$F65*Simulation!$C$10)</f>
        <v>#REF!</v>
      </c>
    </row>
    <row r="66" spans="1:18" s="2" customFormat="1" ht="15" x14ac:dyDescent="0.25">
      <c r="A66" s="37">
        <v>44105</v>
      </c>
      <c r="B66" s="38">
        <v>44105</v>
      </c>
      <c r="C66" s="39">
        <f>MAX(0,MIN(EOMONTH(B66,0),Simulation!$C$12)-MAX(B66,Simulation!$C$11)+1)</f>
        <v>0</v>
      </c>
      <c r="D66" s="197"/>
      <c r="E66" s="195"/>
      <c r="F66" s="39">
        <v>1</v>
      </c>
      <c r="G66" s="40">
        <f t="shared" si="0"/>
        <v>31</v>
      </c>
      <c r="H66" s="199"/>
      <c r="I66" s="41">
        <f>IF(Simulation!$C$12&gt;=$B$133,IF(AND(YEAR(Simulation!$C$11)=YEAR(A66),MONTH(A66)=MONTH(Simulation!$C$11)),1,0),0)</f>
        <v>0</v>
      </c>
      <c r="J66" s="42">
        <f>IF($H$33=0,0,IF($H$33=1,SUM(I54:I66),IF($H$33=2,SUM(I42:I66),IF($H$33=3,SUM(I30:I66),IF($H$33=4,SUM(I21:I66),"more than 4 years")))))</f>
        <v>0</v>
      </c>
      <c r="K66" s="43" t="str">
        <f t="shared" si="1"/>
        <v>ok</v>
      </c>
      <c r="L66" s="43">
        <f>IF(J66=1,IF(J67=0,IF(DAY(Simulation!$C$11)=1,0,DAY(Simulation!$C$11)-1),0),0)</f>
        <v>0</v>
      </c>
      <c r="M66" s="40">
        <f>IF(AND(J65=1,J66=1,J67=0,DAY(Simulation!$C$11)=1),0,IF(J66=1,IF(L66&lt;&gt;0,L66,C66),0))</f>
        <v>0</v>
      </c>
      <c r="N66" s="44">
        <f t="shared" si="2"/>
        <v>0</v>
      </c>
      <c r="O66" s="45">
        <f>IF($E$33=5,(($B$25*$B$11)/365)*$C66*$E$33*$F66*Simulation!$C$10,((($B$25*$B$11)/365)*$M66*Simulation!$C$10)+(($B$25*$B$11)/365)*$N66*$F66*Simulation!$C$10)</f>
        <v>0</v>
      </c>
      <c r="P66" s="46">
        <f>IF($E$33=5,(($B$26*$B$12)/365)*$C66*$E$33*$F66*Simulation!$C$10,((($B$26*$B$12)/365)*$M66*Simulation!$C$10)+(($B$26*$B$12)/365)*$N66*$F66*Simulation!$C$10)</f>
        <v>0</v>
      </c>
      <c r="Q66" s="79">
        <f>IF($E$33=5,($E$20/365)*$C66*$E$33*$F66*Simulation!$C$10,(($E$20/365)*$M66*Simulation!$C$10)+($E$20/365)*$N66*$F66*Simulation!$C$10)</f>
        <v>0</v>
      </c>
      <c r="R66" s="79" t="e">
        <f>IF($E$33=5,($E$21*#REF!/365)*$C66*$E$33*$F66*Simulation!$C$10,(($E$21*#REF!/365)*$M66*Simulation!$C$10)+($E$21*#REF!/365)*$N66*$F66*Simulation!$C$10)</f>
        <v>#REF!</v>
      </c>
    </row>
    <row r="67" spans="1:18" s="2" customFormat="1" ht="15" x14ac:dyDescent="0.25">
      <c r="A67" s="37">
        <v>44136</v>
      </c>
      <c r="B67" s="38">
        <v>44136</v>
      </c>
      <c r="C67" s="39">
        <f>MAX(0,MIN(EOMONTH(B67,0),Simulation!$C$12)-MAX(B67,Simulation!$C$11)+1)</f>
        <v>0</v>
      </c>
      <c r="D67" s="197"/>
      <c r="E67" s="195"/>
      <c r="F67" s="39">
        <v>1</v>
      </c>
      <c r="G67" s="40">
        <f t="shared" si="0"/>
        <v>30</v>
      </c>
      <c r="H67" s="199"/>
      <c r="I67" s="41">
        <f>IF(Simulation!$C$12&gt;=$B$133,IF(AND(YEAR(Simulation!$C$11)=YEAR(A67),MONTH(A67)=MONTH(Simulation!$C$11)),1,0),0)</f>
        <v>0</v>
      </c>
      <c r="J67" s="42">
        <f>IF($H$33=0,0,IF($H$33=1,SUM(I55:I67),IF($H$33=2,SUM(I43:I67),IF($H$33=3,SUM(I31:I67),IF($H$33=4,SUM(I21:I67),"more than 4 years")))))</f>
        <v>0</v>
      </c>
      <c r="K67" s="43" t="str">
        <f t="shared" si="1"/>
        <v>ok</v>
      </c>
      <c r="L67" s="43">
        <f>IF(J67=1,IF(J68=0,IF(DAY(Simulation!$C$11)=1,0,DAY(Simulation!$C$11)-1),0),0)</f>
        <v>0</v>
      </c>
      <c r="M67" s="40">
        <f>IF(AND(J66=1,J67=1,J68=0,DAY(Simulation!$C$11)=1),0,IF(J67=1,IF(L67&lt;&gt;0,L67,C67),0))</f>
        <v>0</v>
      </c>
      <c r="N67" s="44">
        <f t="shared" si="2"/>
        <v>0</v>
      </c>
      <c r="O67" s="45">
        <f>IF($E$33=5,(($B$25*$B$11)/365)*$C67*$E$33*$F67*Simulation!$C$10,((($B$25*$B$11)/365)*$M67*Simulation!$C$10)+(($B$25*$B$11)/365)*$N67*$F67*Simulation!$C$10)</f>
        <v>0</v>
      </c>
      <c r="P67" s="46">
        <f>IF($E$33=5,(($B$26*$B$12)/365)*$C67*$E$33*$F67*Simulation!$C$10,((($B$26*$B$12)/365)*$M67*Simulation!$C$10)+(($B$26*$B$12)/365)*$N67*$F67*Simulation!$C$10)</f>
        <v>0</v>
      </c>
      <c r="Q67" s="79">
        <f>IF($E$33=5,($E$20/365)*$C67*$E$33*$F67*Simulation!$C$10,(($E$20/365)*$M67*Simulation!$C$10)+($E$20/365)*$N67*$F67*Simulation!$C$10)</f>
        <v>0</v>
      </c>
      <c r="R67" s="79" t="e">
        <f>IF($E$33=5,($E$21*#REF!/365)*$C67*$E$33*$F67*Simulation!$C$10,(($E$21*#REF!/365)*$M67*Simulation!$C$10)+($E$21*#REF!/365)*$N67*$F67*Simulation!$C$10)</f>
        <v>#REF!</v>
      </c>
    </row>
    <row r="68" spans="1:18" s="2" customFormat="1" ht="15" x14ac:dyDescent="0.25">
      <c r="A68" s="37">
        <v>44166</v>
      </c>
      <c r="B68" s="38">
        <v>44166</v>
      </c>
      <c r="C68" s="39">
        <f>MAX(0,MIN(EOMONTH(B68,0),Simulation!$C$12)-MAX(B68,Simulation!$C$11)+1)</f>
        <v>0</v>
      </c>
      <c r="D68" s="197"/>
      <c r="E68" s="195"/>
      <c r="F68" s="39">
        <v>1</v>
      </c>
      <c r="G68" s="40">
        <f t="shared" si="0"/>
        <v>31</v>
      </c>
      <c r="H68" s="199"/>
      <c r="I68" s="41">
        <f>IF(Simulation!$C$12&gt;=$B$133,IF(AND(YEAR(Simulation!$C$11)=YEAR(A68),MONTH(A68)=MONTH(Simulation!$C$11)),1,0),0)</f>
        <v>0</v>
      </c>
      <c r="J68" s="42">
        <f>IF($H$33=0,0,IF($H$33=1,SUM(I56:I68),IF($H$33=2,SUM(I44:I68),IF($H$33=3,SUM(I32:I68),IF($H$33=4,SUM(I22:I68),"more than 4 years")))))</f>
        <v>0</v>
      </c>
      <c r="K68" s="43" t="str">
        <f t="shared" si="1"/>
        <v>ok</v>
      </c>
      <c r="L68" s="43">
        <f>IF(J68=1,IF(J69=0,IF(DAY(Simulation!$C$11)=1,0,DAY(Simulation!$C$11)-1),0),0)</f>
        <v>0</v>
      </c>
      <c r="M68" s="40">
        <f>IF(AND(J67=1,J68=1,J69=0,DAY(Simulation!$C$11)=1),0,IF(J68=1,IF(L68&lt;&gt;0,L68,C68),0))</f>
        <v>0</v>
      </c>
      <c r="N68" s="44">
        <f t="shared" si="2"/>
        <v>0</v>
      </c>
      <c r="O68" s="45">
        <f>IF($E$33=5,(($B$25*$B$11)/365)*$C68*$E$33*$F68*Simulation!$C$10,((($B$25*$B$11)/365)*$M68*Simulation!$C$10)+(($B$25*$B$11)/365)*$N68*$F68*Simulation!$C$10)</f>
        <v>0</v>
      </c>
      <c r="P68" s="46">
        <f>IF($E$33=5,(($B$26*$B$12)/365)*$C68*$E$33*$F68*Simulation!$C$10,((($B$26*$B$12)/365)*$M68*Simulation!$C$10)+(($B$26*$B$12)/365)*$N68*$F68*Simulation!$C$10)</f>
        <v>0</v>
      </c>
      <c r="Q68" s="79">
        <f>IF($E$33=5,($E$20/365)*$C68*$E$33*$F68*Simulation!$C$10,(($E$20/365)*$M68*Simulation!$C$10)+($E$20/365)*$N68*$F68*Simulation!$C$10)</f>
        <v>0</v>
      </c>
      <c r="R68" s="79" t="e">
        <f>IF($E$33=5,($E$21*#REF!/365)*$C68*$E$33*$F68*Simulation!$C$10,(($E$21*#REF!/365)*$M68*Simulation!$C$10)+($E$21*#REF!/365)*$N68*$F68*Simulation!$C$10)</f>
        <v>#REF!</v>
      </c>
    </row>
    <row r="69" spans="1:18" s="2" customFormat="1" ht="15" x14ac:dyDescent="0.25">
      <c r="A69" s="37">
        <v>44197</v>
      </c>
      <c r="B69" s="38">
        <v>44197</v>
      </c>
      <c r="C69" s="39">
        <f>MAX(0,MIN(EOMONTH(B69,0),Simulation!$C$12)-MAX(B69,Simulation!$C$11)+1)</f>
        <v>0</v>
      </c>
      <c r="D69" s="197"/>
      <c r="E69" s="195"/>
      <c r="F69" s="39">
        <v>1</v>
      </c>
      <c r="G69" s="40">
        <f t="shared" si="0"/>
        <v>31</v>
      </c>
      <c r="H69" s="199"/>
      <c r="I69" s="41">
        <f>IF(Simulation!$C$12&gt;=$B$133,IF(AND(YEAR(Simulation!$C$11)=YEAR(A69),MONTH(A69)=MONTH(Simulation!$C$11)),1,0),0)</f>
        <v>0</v>
      </c>
      <c r="J69" s="42">
        <f>IF($H$33=0,0,IF($H$33=1,SUM(I57:I69),IF($H$33=2,SUM(I45:I69),IF($H$33=3,SUM(I33:I69),IF($H$33=4,SUM(I22:I69),"more than 4 years")))))</f>
        <v>0</v>
      </c>
      <c r="K69" s="43" t="str">
        <f t="shared" si="1"/>
        <v>ok</v>
      </c>
      <c r="L69" s="43">
        <f>IF(J69=1,IF(J70=0,IF(DAY(Simulation!$C$11)=1,0,DAY(Simulation!$C$11)-1),0),0)</f>
        <v>0</v>
      </c>
      <c r="M69" s="40">
        <f>IF(AND(J68=1,J69=1,J70=0,DAY(Simulation!$C$11)=1),0,IF(J69=1,IF(L69&lt;&gt;0,L69,C69),0))</f>
        <v>0</v>
      </c>
      <c r="N69" s="44">
        <f t="shared" si="2"/>
        <v>0</v>
      </c>
      <c r="O69" s="45">
        <f>IF($E$33=5,(($B$25*$B$11)/365)*$C69*$E$33*$F69*Simulation!$C$10,((($B$25*$B$11)/365)*$M69*Simulation!$C$10)+(($B$25*$B$11)/365)*$N69*$F69*Simulation!$C$10)</f>
        <v>0</v>
      </c>
      <c r="P69" s="46">
        <f>IF($E$33=5,(($B$26*$B$12)/365)*$C69*$E$33*$F69*Simulation!$C$10,((($B$26*$B$12)/365)*$M69*Simulation!$C$10)+(($B$26*$B$12)/365)*$N69*$F69*Simulation!$C$10)</f>
        <v>0</v>
      </c>
      <c r="Q69" s="79">
        <f>IF($E$33=5,($E$20/365)*$C69*$E$33*$F69*Simulation!$C$10,(($E$20/365)*$M69*Simulation!$C$10)+($E$20/365)*$N69*$F69*Simulation!$C$10)</f>
        <v>0</v>
      </c>
      <c r="R69" s="79" t="e">
        <f>IF($E$33=5,($E$21*#REF!/365)*$C69*$E$33*$F69*Simulation!$C$10,(($E$21*#REF!/365)*$M69*Simulation!$C$10)+($E$21*#REF!/365)*$N69*$F69*Simulation!$C$10)</f>
        <v>#REF!</v>
      </c>
    </row>
    <row r="70" spans="1:18" s="2" customFormat="1" ht="15" x14ac:dyDescent="0.25">
      <c r="A70" s="37">
        <v>44228</v>
      </c>
      <c r="B70" s="38">
        <v>44228</v>
      </c>
      <c r="C70" s="39">
        <f>MAX(0,MIN(EOMONTH(B70,0),Simulation!$C$12)-MAX(B70,Simulation!$C$11)+1)</f>
        <v>0</v>
      </c>
      <c r="D70" s="197"/>
      <c r="E70" s="195"/>
      <c r="F70" s="39">
        <v>1</v>
      </c>
      <c r="G70" s="40">
        <f t="shared" si="0"/>
        <v>28</v>
      </c>
      <c r="H70" s="199"/>
      <c r="I70" s="41">
        <f>IF(Simulation!$C$12&gt;=$B$133,IF(AND(YEAR(Simulation!$C$11)=YEAR(A70),MONTH(A70)=MONTH(Simulation!$C$11)),1,0),0)</f>
        <v>0</v>
      </c>
      <c r="J70" s="42">
        <f>IF($H$33=0,0,IF($H$33=1,SUM(I58:I70),IF($H$33=2,SUM(I46:I70),IF($H$33=3,SUM(I34:I70),IF($H$33=4,SUM(I23:I70),"more than 4 years")))))</f>
        <v>0</v>
      </c>
      <c r="K70" s="43" t="str">
        <f t="shared" si="1"/>
        <v>ok</v>
      </c>
      <c r="L70" s="43">
        <f>IF(J70=1,IF(J71=0,IF(DAY(Simulation!$C$11)=1,0,DAY(Simulation!$C$11)-1),0),0)</f>
        <v>0</v>
      </c>
      <c r="M70" s="40">
        <f>IF(AND(J69=1,J70=1,J71=0,DAY(Simulation!$C$11)=1),0,IF(J70=1,IF(L70&lt;&gt;0,L70,C70),0))</f>
        <v>0</v>
      </c>
      <c r="N70" s="44">
        <f t="shared" si="2"/>
        <v>0</v>
      </c>
      <c r="O70" s="45">
        <f>IF($E$33=5,(($B$25*$B$11)/365)*$C70*$E$33*$F70*Simulation!$C$10,((($B$25*$B$11)/365)*$M70*Simulation!$C$10)+(($B$25*$B$11)/365)*$N70*$F70*Simulation!$C$10)</f>
        <v>0</v>
      </c>
      <c r="P70" s="46">
        <f>IF($E$33=5,(($B$26*$B$12)/365)*$C70*$E$33*$F70*Simulation!$C$10,((($B$26*$B$12)/365)*$M70*Simulation!$C$10)+(($B$26*$B$12)/365)*$N70*$F70*Simulation!$C$10)</f>
        <v>0</v>
      </c>
      <c r="Q70" s="79">
        <f>IF($E$33=5,($E$20/365)*$C70*$E$33*$F70*Simulation!$C$10,(($E$20/365)*$M70*Simulation!$C$10)+($E$20/365)*$N70*$F70*Simulation!$C$10)</f>
        <v>0</v>
      </c>
      <c r="R70" s="79" t="e">
        <f>IF($E$33=5,($E$21*#REF!/365)*$C70*$E$33*$F70*Simulation!$C$10,(($E$21*#REF!/365)*$M70*Simulation!$C$10)+($E$21*#REF!/365)*$N70*$F70*Simulation!$C$10)</f>
        <v>#REF!</v>
      </c>
    </row>
    <row r="71" spans="1:18" s="2" customFormat="1" ht="15" x14ac:dyDescent="0.25">
      <c r="A71" s="37">
        <v>44256</v>
      </c>
      <c r="B71" s="38">
        <v>44256</v>
      </c>
      <c r="C71" s="39">
        <f>MAX(0,MIN(EOMONTH(B71,0),Simulation!$C$12)-MAX(B71,Simulation!$C$11)+1)</f>
        <v>0</v>
      </c>
      <c r="D71" s="197"/>
      <c r="E71" s="195"/>
      <c r="F71" s="39">
        <v>1</v>
      </c>
      <c r="G71" s="40">
        <f t="shared" si="0"/>
        <v>31</v>
      </c>
      <c r="H71" s="199"/>
      <c r="I71" s="41">
        <f>IF(Simulation!$C$12&gt;=$B$133,IF(AND(YEAR(Simulation!$C$11)=YEAR(A71),MONTH(A71)=MONTH(Simulation!$C$11)),1,0),0)</f>
        <v>0</v>
      </c>
      <c r="J71" s="42">
        <f>IF($H$33=0,0,IF($H$33=1,SUM(I59:I71),IF($H$33=2,SUM(I47:I71),IF($H$33=3,SUM(I35:I71),IF($H$33=4,SUM(I24:I71),"more than 4 years")))))</f>
        <v>0</v>
      </c>
      <c r="K71" s="43" t="str">
        <f t="shared" si="1"/>
        <v>ok</v>
      </c>
      <c r="L71" s="43">
        <f>IF(J71=1,IF(J72=0,IF(DAY(Simulation!$C$11)=1,0,DAY(Simulation!$C$11)-1),0),0)</f>
        <v>0</v>
      </c>
      <c r="M71" s="40">
        <f>IF(AND(J70=1,J71=1,J72=0,DAY(Simulation!$C$11)=1),0,IF(J71=1,IF(L71&lt;&gt;0,L71,C71),0))</f>
        <v>0</v>
      </c>
      <c r="N71" s="44">
        <f t="shared" si="2"/>
        <v>0</v>
      </c>
      <c r="O71" s="45">
        <f>IF($E$33=5,(($B$25*$B$11)/365)*$C71*$E$33*$F71*Simulation!$C$10,((($B$25*$B$11)/365)*$M71*Simulation!$C$10)+(($B$25*$B$11)/365)*$N71*$F71*Simulation!$C$10)</f>
        <v>0</v>
      </c>
      <c r="P71" s="46">
        <f>IF($E$33=5,(($B$26*$B$12)/365)*$C71*$E$33*$F71*Simulation!$C$10,((($B$26*$B$12)/365)*$M71*Simulation!$C$10)+(($B$26*$B$12)/365)*$N71*$F71*Simulation!$C$10)</f>
        <v>0</v>
      </c>
      <c r="Q71" s="79">
        <f>IF($E$33=5,($E$20/365)*$C71*$E$33*$F71*Simulation!$C$10,(($E$20/365)*$M71*Simulation!$C$10)+($E$20/365)*$N71*$F71*Simulation!$C$10)</f>
        <v>0</v>
      </c>
      <c r="R71" s="79" t="e">
        <f>IF($E$33=5,($E$21*#REF!/365)*$C71*$E$33*$F71*Simulation!$C$10,(($E$21*#REF!/365)*$M71*Simulation!$C$10)+($E$21*#REF!/365)*$N71*$F71*Simulation!$C$10)</f>
        <v>#REF!</v>
      </c>
    </row>
    <row r="72" spans="1:18" s="2" customFormat="1" ht="15" x14ac:dyDescent="0.25">
      <c r="A72" s="37">
        <v>44287</v>
      </c>
      <c r="B72" s="38">
        <v>44287</v>
      </c>
      <c r="C72" s="39">
        <f>MAX(0,MIN(EOMONTH(B72,0),Simulation!$C$12)-MAX(B72,Simulation!$C$11)+1)</f>
        <v>0</v>
      </c>
      <c r="D72" s="197"/>
      <c r="E72" s="195"/>
      <c r="F72" s="39">
        <v>1</v>
      </c>
      <c r="G72" s="40">
        <f t="shared" si="0"/>
        <v>30</v>
      </c>
      <c r="H72" s="199"/>
      <c r="I72" s="41">
        <f>IF(Simulation!$C$12&gt;=$B$133,IF(AND(YEAR(Simulation!$C$11)=YEAR(A72),MONTH(A72)=MONTH(Simulation!$C$11)),1,0),0)</f>
        <v>0</v>
      </c>
      <c r="J72" s="42">
        <f>IF($H$33=0,0,IF($H$33=1,SUM(I60:I72),IF($H$33=2,SUM(I48:I72),IF($H$33=3,SUM(I36:I72),IF($H$33=4,SUM(I25:I72),"more than 4 years")))))</f>
        <v>0</v>
      </c>
      <c r="K72" s="43" t="str">
        <f t="shared" si="1"/>
        <v>ok</v>
      </c>
      <c r="L72" s="43">
        <f>IF(J72=1,IF(J73=0,IF(DAY(Simulation!$C$11)=1,0,DAY(Simulation!$C$11)-1),0),0)</f>
        <v>0</v>
      </c>
      <c r="M72" s="40">
        <f>IF(AND(J71=1,J72=1,J73=0,DAY(Simulation!$C$11)=1),0,IF(J72=1,IF(L72&lt;&gt;0,L72,C72),0))</f>
        <v>0</v>
      </c>
      <c r="N72" s="44">
        <f t="shared" si="2"/>
        <v>0</v>
      </c>
      <c r="O72" s="45">
        <f>IF($E$33=5,(($B$25*$B$11)/365)*$C72*$E$33*$F72*Simulation!$C$10,((($B$25*$B$11)/365)*$M72*Simulation!$C$10)+(($B$25*$B$11)/365)*$N72*$F72*Simulation!$C$10)</f>
        <v>0</v>
      </c>
      <c r="P72" s="46">
        <f>IF($E$33=5,(($B$26*$B$12)/365)*$C72*$E$33*$F72*Simulation!$C$10,((($B$26*$B$12)/365)*$M72*Simulation!$C$10)+(($B$26*$B$12)/365)*$N72*$F72*Simulation!$C$10)</f>
        <v>0</v>
      </c>
      <c r="Q72" s="79">
        <f>IF($E$33=5,($E$20/365)*$C72*$E$33*$F72*Simulation!$C$10,(($E$20/365)*$M72*Simulation!$C$10)+($E$20/365)*$N72*$F72*Simulation!$C$10)</f>
        <v>0</v>
      </c>
      <c r="R72" s="79" t="e">
        <f>IF($E$33=5,($E$21*#REF!/365)*$C72*$E$33*$F72*Simulation!$C$10,(($E$21*#REF!/365)*$M72*Simulation!$C$10)+($E$21*#REF!/365)*$N72*$F72*Simulation!$C$10)</f>
        <v>#REF!</v>
      </c>
    </row>
    <row r="73" spans="1:18" s="2" customFormat="1" ht="15" x14ac:dyDescent="0.25">
      <c r="A73" s="37">
        <v>44317</v>
      </c>
      <c r="B73" s="38">
        <v>44317</v>
      </c>
      <c r="C73" s="39">
        <f>MAX(0,MIN(EOMONTH(B73,0),Simulation!$C$12)-MAX(B73,Simulation!$C$11)+1)</f>
        <v>0</v>
      </c>
      <c r="D73" s="197"/>
      <c r="E73" s="195"/>
      <c r="F73" s="39">
        <v>1</v>
      </c>
      <c r="G73" s="40">
        <f t="shared" si="0"/>
        <v>31</v>
      </c>
      <c r="H73" s="199"/>
      <c r="I73" s="41">
        <f>IF(Simulation!$C$12&gt;=$B$133,IF(AND(YEAR(Simulation!$C$11)=YEAR(A73),MONTH(A73)=MONTH(Simulation!$C$11)),1,0),0)</f>
        <v>0</v>
      </c>
      <c r="J73" s="42">
        <f>IF($H$33=0,0,IF($H$33=1,SUM(I61:I73),IF($H$33=2,SUM(I49:I73),IF($H$33=3,SUM(I37:I73),IF($H$33=4,SUM(I27:I73),"more than 4 years")))))</f>
        <v>0</v>
      </c>
      <c r="K73" s="43" t="str">
        <f t="shared" si="1"/>
        <v>ok</v>
      </c>
      <c r="L73" s="43">
        <f>IF(J73=1,IF(J74=0,IF(DAY(Simulation!$C$11)=1,0,DAY(Simulation!$C$11)-1),0),0)</f>
        <v>0</v>
      </c>
      <c r="M73" s="40">
        <f>IF(AND(J72=1,J73=1,J74=0,DAY(Simulation!$C$11)=1),0,IF(J73=1,IF(L73&lt;&gt;0,L73,C73),0))</f>
        <v>0</v>
      </c>
      <c r="N73" s="44">
        <f t="shared" si="2"/>
        <v>0</v>
      </c>
      <c r="O73" s="45">
        <f>IF($E$33=5,(($B$25*$B$11)/365)*$C73*$E$33*$F73*Simulation!$C$10,((($B$25*$B$11)/365)*$M73*Simulation!$C$10)+(($B$25*$B$11)/365)*$N73*$F73*Simulation!$C$10)</f>
        <v>0</v>
      </c>
      <c r="P73" s="46">
        <f>IF($E$33=5,(($B$26*$B$12)/365)*$C73*$E$33*$F73*Simulation!$C$10,((($B$26*$B$12)/365)*$M73*Simulation!$C$10)+(($B$26*$B$12)/365)*$N73*$F73*Simulation!$C$10)</f>
        <v>0</v>
      </c>
      <c r="Q73" s="79">
        <f>IF($E$33=5,($E$20/365)*$C73*$E$33*$F73*Simulation!$C$10,(($E$20/365)*$M73*Simulation!$C$10)+($E$20/365)*$N73*$F73*Simulation!$C$10)</f>
        <v>0</v>
      </c>
      <c r="R73" s="79" t="e">
        <f>IF($E$33=5,($E$21*#REF!/365)*$C73*$E$33*$F73*Simulation!$C$10,(($E$21*#REF!/365)*$M73*Simulation!$C$10)+($E$21*#REF!/365)*$N73*$F73*Simulation!$C$10)</f>
        <v>#REF!</v>
      </c>
    </row>
    <row r="74" spans="1:18" s="2" customFormat="1" ht="15" x14ac:dyDescent="0.25">
      <c r="A74" s="37">
        <v>44348</v>
      </c>
      <c r="B74" s="38">
        <v>44348</v>
      </c>
      <c r="C74" s="39">
        <f>MAX(0,MIN(EOMONTH(B74,0),Simulation!$C$12)-MAX(B74,Simulation!$C$11)+1)</f>
        <v>0</v>
      </c>
      <c r="D74" s="197"/>
      <c r="E74" s="195"/>
      <c r="F74" s="39">
        <v>1</v>
      </c>
      <c r="G74" s="40">
        <f t="shared" si="0"/>
        <v>30</v>
      </c>
      <c r="H74" s="199"/>
      <c r="I74" s="41">
        <f>IF(Simulation!$C$12&gt;=$B$133,IF(AND(YEAR(Simulation!$C$11)=YEAR(A74),MONTH(A74)=MONTH(Simulation!$C$11)),1,0),0)</f>
        <v>0</v>
      </c>
      <c r="J74" s="42">
        <f>IF($H$33=0,0,IF($H$33=1,SUM(I62:I74),IF($H$33=2,SUM(I50:I74),IF($H$33=3,SUM(I38:I74),IF($H$33=4,SUM(I27:I74),"more than 4 years")))))</f>
        <v>0</v>
      </c>
      <c r="K74" s="43" t="str">
        <f t="shared" si="1"/>
        <v>ok</v>
      </c>
      <c r="L74" s="43">
        <f>IF(J74=1,IF(J75=0,IF(DAY(Simulation!$C$11)=1,0,DAY(Simulation!$C$11)-1),0),0)</f>
        <v>0</v>
      </c>
      <c r="M74" s="40">
        <f>IF(AND(J73=1,J74=1,J75=0,DAY(Simulation!$C$11)=1),0,IF(J74=1,IF(L74&lt;&gt;0,L74,C74),0))</f>
        <v>0</v>
      </c>
      <c r="N74" s="44">
        <f t="shared" si="2"/>
        <v>0</v>
      </c>
      <c r="O74" s="45">
        <f>IF($E$33=5,(($B$25*$B$11)/365)*$C74*$E$33*$F74*Simulation!$C$10,((($B$25*$B$11)/365)*$M74*Simulation!$C$10)+(($B$25*$B$11)/365)*$N74*$F74*Simulation!$C$10)</f>
        <v>0</v>
      </c>
      <c r="P74" s="46">
        <f>IF($E$33=5,(($B$26*$B$12)/365)*$C74*$E$33*$F74*Simulation!$C$10,((($B$26*$B$12)/365)*$M74*Simulation!$C$10)+(($B$26*$B$12)/365)*$N74*$F74*Simulation!$C$10)</f>
        <v>0</v>
      </c>
      <c r="Q74" s="79">
        <f>IF($E$33=5,($E$20/365)*$C74*$E$33*$F74*Simulation!$C$10,(($E$20/365)*$M74*Simulation!$C$10)+($E$20/365)*$N74*$F74*Simulation!$C$10)</f>
        <v>0</v>
      </c>
      <c r="R74" s="79" t="e">
        <f>IF($E$33=5,($E$21*#REF!/365)*$C74*$E$33*$F74*Simulation!$C$10,(($E$21*#REF!/365)*$M74*Simulation!$C$10)+($E$21*#REF!/365)*$N74*$F74*Simulation!$C$10)</f>
        <v>#REF!</v>
      </c>
    </row>
    <row r="75" spans="1:18" s="2" customFormat="1" ht="15" x14ac:dyDescent="0.25">
      <c r="A75" s="37">
        <v>44378</v>
      </c>
      <c r="B75" s="38">
        <v>44378</v>
      </c>
      <c r="C75" s="39">
        <f>MAX(0,MIN(EOMONTH(B75,0),Simulation!$C$12)-MAX(B75,Simulation!$C$11)+1)</f>
        <v>0</v>
      </c>
      <c r="D75" s="197"/>
      <c r="E75" s="195"/>
      <c r="F75" s="39">
        <v>1</v>
      </c>
      <c r="G75" s="40">
        <f t="shared" si="0"/>
        <v>31</v>
      </c>
      <c r="H75" s="199"/>
      <c r="I75" s="41">
        <f>IF(Simulation!$C$12&gt;=$B$133,IF(AND(YEAR(Simulation!$C$11)=YEAR(A75),MONTH(A75)=MONTH(Simulation!$C$11)),1,0),0)</f>
        <v>0</v>
      </c>
      <c r="J75" s="42">
        <f t="shared" ref="J75:J80" si="3">IF($H$33=0,0,IF($H$33=1,SUM(I63:I75),IF($H$33=2,SUM(I51:I75),IF($H$33=3,SUM(I39:I75),IF($H$33=4,SUM(I27:I75),"more than 4 years")))))</f>
        <v>0</v>
      </c>
      <c r="K75" s="43" t="str">
        <f t="shared" si="1"/>
        <v>ok</v>
      </c>
      <c r="L75" s="43">
        <f>IF(J75=1,IF(J76=0,IF(DAY(Simulation!$C$11)=1,0,DAY(Simulation!$C$11)-1),0),0)</f>
        <v>0</v>
      </c>
      <c r="M75" s="40">
        <f>IF(AND(J74=1,J75=1,J76=0,DAY(Simulation!$C$11)=1),0,IF(J75=1,IF(L75&lt;&gt;0,L75,C75),0))</f>
        <v>0</v>
      </c>
      <c r="N75" s="44">
        <f t="shared" si="2"/>
        <v>0</v>
      </c>
      <c r="O75" s="45">
        <f>IF($E$33=5,(($B$25*$B$11)/365)*$C75*$E$33*$F75*Simulation!$C$10,((($B$25*$B$11)/365)*$M75*Simulation!$C$10)+(($B$25*$B$11)/365)*$N75*$F75*Simulation!$C$10)</f>
        <v>0</v>
      </c>
      <c r="P75" s="46">
        <f>IF($E$33=5,(($B$26*$B$12)/365)*$C75*$E$33*$F75*Simulation!$C$10,((($B$26*$B$12)/365)*$M75*Simulation!$C$10)+(($B$26*$B$12)/365)*$N75*$F75*Simulation!$C$10)</f>
        <v>0</v>
      </c>
      <c r="Q75" s="79">
        <f>IF($E$33=5,($E$20/365)*$C75*$E$33*$F75*Simulation!$C$10,(($E$20/365)*$M75*Simulation!$C$10)+($E$20/365)*$N75*$F75*Simulation!$C$10)</f>
        <v>0</v>
      </c>
      <c r="R75" s="79" t="e">
        <f>IF($E$33=5,($E$21*#REF!/365)*$C75*$E$33*$F75*Simulation!$C$10,(($E$21*#REF!/365)*$M75*Simulation!$C$10)+($E$21*#REF!/365)*$N75*$F75*Simulation!$C$10)</f>
        <v>#REF!</v>
      </c>
    </row>
    <row r="76" spans="1:18" s="2" customFormat="1" ht="15" x14ac:dyDescent="0.25">
      <c r="A76" s="37">
        <v>44409</v>
      </c>
      <c r="B76" s="38">
        <v>44409</v>
      </c>
      <c r="C76" s="39">
        <f>MAX(0,MIN(EOMONTH(B76,0),Simulation!$C$12)-MAX(B76,Simulation!$C$11)+1)</f>
        <v>0</v>
      </c>
      <c r="D76" s="197"/>
      <c r="E76" s="195"/>
      <c r="F76" s="39">
        <v>1</v>
      </c>
      <c r="G76" s="40">
        <f t="shared" si="0"/>
        <v>31</v>
      </c>
      <c r="H76" s="199"/>
      <c r="I76" s="41">
        <f>IF(Simulation!$C$12&gt;=$B$133,IF(AND(YEAR(Simulation!$C$11)=YEAR(A76),MONTH(A76)=MONTH(Simulation!$C$11)),1,0),0)</f>
        <v>0</v>
      </c>
      <c r="J76" s="42">
        <f t="shared" si="3"/>
        <v>0</v>
      </c>
      <c r="K76" s="43" t="str">
        <f t="shared" si="1"/>
        <v>ok</v>
      </c>
      <c r="L76" s="43">
        <f>IF(J76=1,IF(J77=0,IF(DAY(Simulation!$C$11)=1,0,DAY(Simulation!$C$11)-1),0),0)</f>
        <v>0</v>
      </c>
      <c r="M76" s="40">
        <f>IF(AND(J75=1,J76=1,J77=0,DAY(Simulation!$C$11)=1),0,IF(J76=1,IF(L76&lt;&gt;0,L76,C76),0))</f>
        <v>0</v>
      </c>
      <c r="N76" s="44">
        <f t="shared" si="2"/>
        <v>0</v>
      </c>
      <c r="O76" s="45">
        <f>IF($E$33=5,(($B$25*$B$11)/365)*$C76*$E$33*$F76*Simulation!$C$10,((($B$25*$B$11)/365)*$M76*Simulation!$C$10)+(($B$25*$B$11)/365)*$N76*$F76*Simulation!$C$10)</f>
        <v>0</v>
      </c>
      <c r="P76" s="46">
        <f>IF($E$33=5,(($B$26*$B$12)/365)*$C76*$E$33*$F76*Simulation!$C$10,((($B$26*$B$12)/365)*$M76*Simulation!$C$10)+(($B$26*$B$12)/365)*$N76*$F76*Simulation!$C$10)</f>
        <v>0</v>
      </c>
      <c r="Q76" s="79">
        <f>IF($E$33=5,($E$20/365)*$C76*$E$33*$F76*Simulation!$C$10,(($E$20/365)*$M76*Simulation!$C$10)+($E$20/365)*$N76*$F76*Simulation!$C$10)</f>
        <v>0</v>
      </c>
      <c r="R76" s="79" t="e">
        <f>IF($E$33=5,($E$21*#REF!/365)*$C76*$E$33*$F76*Simulation!$C$10,(($E$21*#REF!/365)*$M76*Simulation!$C$10)+($E$21*#REF!/365)*$N76*$F76*Simulation!$C$10)</f>
        <v>#REF!</v>
      </c>
    </row>
    <row r="77" spans="1:18" s="2" customFormat="1" ht="15" x14ac:dyDescent="0.25">
      <c r="A77" s="37">
        <v>44440</v>
      </c>
      <c r="B77" s="38">
        <v>44440</v>
      </c>
      <c r="C77" s="39">
        <f>MAX(0,MIN(EOMONTH(B77,0),Simulation!$C$12)-MAX(B77,Simulation!$C$11)+1)</f>
        <v>0</v>
      </c>
      <c r="D77" s="197"/>
      <c r="E77" s="195"/>
      <c r="F77" s="39">
        <v>1</v>
      </c>
      <c r="G77" s="40">
        <f t="shared" si="0"/>
        <v>30</v>
      </c>
      <c r="H77" s="199"/>
      <c r="I77" s="41">
        <f>IF(Simulation!$C$12&gt;=$B$133,IF(AND(YEAR(Simulation!$C$11)=YEAR(A77),MONTH(A77)=MONTH(Simulation!$C$11)),1,0),0)</f>
        <v>0</v>
      </c>
      <c r="J77" s="42">
        <f t="shared" si="3"/>
        <v>0</v>
      </c>
      <c r="K77" s="43" t="str">
        <f t="shared" si="1"/>
        <v>ok</v>
      </c>
      <c r="L77" s="43">
        <f>IF(J77=1,IF(J78=0,IF(DAY(Simulation!$C$11)=1,0,DAY(Simulation!$C$11)-1),0),0)</f>
        <v>0</v>
      </c>
      <c r="M77" s="40">
        <f>IF(AND(J76=1,J77=1,J78=0,DAY(Simulation!$C$11)=1),0,IF(J77=1,IF(L77&lt;&gt;0,L77,C77),0))</f>
        <v>0</v>
      </c>
      <c r="N77" s="44">
        <f t="shared" si="2"/>
        <v>0</v>
      </c>
      <c r="O77" s="45">
        <f>IF($E$33=5,(($B$25*$B$11)/365)*$C77*$E$33*$F77*Simulation!$C$10,((($B$25*$B$11)/365)*$M77*Simulation!$C$10)+(($B$25*$B$11)/365)*$N77*$F77*Simulation!$C$10)</f>
        <v>0</v>
      </c>
      <c r="P77" s="46">
        <f>IF($E$33=5,(($B$26*$B$12)/365)*$C77*$E$33*$F77*Simulation!$C$10,((($B$26*$B$12)/365)*$M77*Simulation!$C$10)+(($B$26*$B$12)/365)*$N77*$F77*Simulation!$C$10)</f>
        <v>0</v>
      </c>
      <c r="Q77" s="79">
        <f>IF($E$33=5,($E$20/365)*$C77*$E$33*$F77*Simulation!$C$10,(($E$20/365)*$M77*Simulation!$C$10)+($E$20/365)*$N77*$F77*Simulation!$C$10)</f>
        <v>0</v>
      </c>
      <c r="R77" s="79" t="e">
        <f>IF($E$33=5,($E$21*#REF!/365)*$C77*$E$33*$F77*Simulation!$C$10,(($E$21*#REF!/365)*$M77*Simulation!$C$10)+($E$21*#REF!/365)*$N77*$F77*Simulation!$C$10)</f>
        <v>#REF!</v>
      </c>
    </row>
    <row r="78" spans="1:18" s="2" customFormat="1" ht="15" x14ac:dyDescent="0.25">
      <c r="A78" s="37">
        <v>44470</v>
      </c>
      <c r="B78" s="38">
        <v>44470</v>
      </c>
      <c r="C78" s="39">
        <f>MAX(0,MIN(EOMONTH(B78,0),Simulation!$C$12)-MAX(B78,Simulation!$C$11)+1)</f>
        <v>0</v>
      </c>
      <c r="D78" s="197"/>
      <c r="E78" s="195"/>
      <c r="F78" s="39">
        <v>1</v>
      </c>
      <c r="G78" s="40">
        <f t="shared" si="0"/>
        <v>31</v>
      </c>
      <c r="H78" s="199"/>
      <c r="I78" s="41">
        <f>IF(Simulation!$C$12&gt;=$B$133,IF(AND(YEAR(Simulation!$C$11)=YEAR(A78),MONTH(A78)=MONTH(Simulation!$C$11)),1,0),0)</f>
        <v>0</v>
      </c>
      <c r="J78" s="42">
        <f t="shared" si="3"/>
        <v>0</v>
      </c>
      <c r="K78" s="43" t="str">
        <f t="shared" si="1"/>
        <v>ok</v>
      </c>
      <c r="L78" s="43">
        <f>IF(J78=1,IF(J79=0,IF(DAY(Simulation!$C$11)=1,0,DAY(Simulation!$C$11)-1),0),0)</f>
        <v>0</v>
      </c>
      <c r="M78" s="40">
        <f>IF(AND(J77=1,J78=1,J79=0,DAY(Simulation!$C$11)=1),0,IF(J78=1,IF(L78&lt;&gt;0,L78,C78),0))</f>
        <v>0</v>
      </c>
      <c r="N78" s="44">
        <f t="shared" si="2"/>
        <v>0</v>
      </c>
      <c r="O78" s="45">
        <f>IF($E$33=5,(($B$25*$B$11)/365)*$C78*$E$33*$F78*Simulation!$C$10,((($B$25*$B$11)/365)*$M78*Simulation!$C$10)+(($B$25*$B$11)/365)*$N78*$F78*Simulation!$C$10)</f>
        <v>0</v>
      </c>
      <c r="P78" s="46">
        <f>IF($E$33=5,(($B$26*$B$12)/365)*$C78*$E$33*$F78*Simulation!$C$10,((($B$26*$B$12)/365)*$M78*Simulation!$C$10)+(($B$26*$B$12)/365)*$N78*$F78*Simulation!$C$10)</f>
        <v>0</v>
      </c>
      <c r="Q78" s="79">
        <f>IF($E$33=5,($E$20/365)*$C78*$E$33*$F78*Simulation!$C$10,(($E$20/365)*$M78*Simulation!$C$10)+($E$20/365)*$N78*$F78*Simulation!$C$10)</f>
        <v>0</v>
      </c>
      <c r="R78" s="79" t="e">
        <f>IF($E$33=5,($E$21*#REF!/365)*$C78*$E$33*$F78*Simulation!$C$10,(($E$21*#REF!/365)*$M78*Simulation!$C$10)+($E$21*#REF!/365)*$N78*$F78*Simulation!$C$10)</f>
        <v>#REF!</v>
      </c>
    </row>
    <row r="79" spans="1:18" s="2" customFormat="1" ht="15" x14ac:dyDescent="0.25">
      <c r="A79" s="37">
        <v>44501</v>
      </c>
      <c r="B79" s="38">
        <v>44501</v>
      </c>
      <c r="C79" s="39">
        <f>MAX(0,MIN(EOMONTH(B79,0),Simulation!$C$12)-MAX(B79,Simulation!$C$11)+1)</f>
        <v>0</v>
      </c>
      <c r="D79" s="197"/>
      <c r="E79" s="195"/>
      <c r="F79" s="39">
        <v>1</v>
      </c>
      <c r="G79" s="40">
        <f t="shared" si="0"/>
        <v>30</v>
      </c>
      <c r="H79" s="199"/>
      <c r="I79" s="41">
        <f>IF(Simulation!$C$12&gt;=$B$133,IF(AND(YEAR(Simulation!$C$11)=YEAR(A79),MONTH(A79)=MONTH(Simulation!$C$11)),1,0),0)</f>
        <v>0</v>
      </c>
      <c r="J79" s="42">
        <f t="shared" si="3"/>
        <v>0</v>
      </c>
      <c r="K79" s="43" t="str">
        <f t="shared" si="1"/>
        <v>ok</v>
      </c>
      <c r="L79" s="43">
        <f>IF(J79=1,IF(J80=0,IF(DAY(Simulation!$C$11)=1,0,DAY(Simulation!$C$11)-1),0),0)</f>
        <v>0</v>
      </c>
      <c r="M79" s="40">
        <f>IF(AND(J78=1,J79=1,J80=0,DAY(Simulation!$C$11)=1),0,IF(J79=1,IF(L79&lt;&gt;0,L79,C79),0))</f>
        <v>0</v>
      </c>
      <c r="N79" s="44">
        <f t="shared" si="2"/>
        <v>0</v>
      </c>
      <c r="O79" s="45">
        <f>IF($E$33=5,(($B$25*$B$11)/365)*$C79*$E$33*$F79*Simulation!$C$10,((($B$25*$B$11)/365)*$M79*Simulation!$C$10)+(($B$25*$B$11)/365)*$N79*$F79*Simulation!$C$10)</f>
        <v>0</v>
      </c>
      <c r="P79" s="46">
        <f>IF($E$33=5,(($B$26*$B$12)/365)*$C79*$E$33*$F79*Simulation!$C$10,((($B$26*$B$12)/365)*$M79*Simulation!$C$10)+(($B$26*$B$12)/365)*$N79*$F79*Simulation!$C$10)</f>
        <v>0</v>
      </c>
      <c r="Q79" s="79">
        <f>IF($E$33=5,($E$20/365)*$C79*$E$33*$F79*Simulation!$C$10,(($E$20/365)*$M79*Simulation!$C$10)+($E$20/365)*$N79*$F79*Simulation!$C$10)</f>
        <v>0</v>
      </c>
      <c r="R79" s="79" t="e">
        <f>IF($E$33=5,($E$21*#REF!/365)*$C79*$E$33*$F79*Simulation!$C$10,(($E$21*#REF!/365)*$M79*Simulation!$C$10)+($E$21*#REF!/365)*$N79*$F79*Simulation!$C$10)</f>
        <v>#REF!</v>
      </c>
    </row>
    <row r="80" spans="1:18" s="2" customFormat="1" ht="15" x14ac:dyDescent="0.25">
      <c r="A80" s="37">
        <v>44531</v>
      </c>
      <c r="B80" s="38">
        <v>44531</v>
      </c>
      <c r="C80" s="39">
        <f>MAX(0,MIN(EOMONTH(B80,0),Simulation!$C$12)-MAX(B80,Simulation!$C$11)+1)</f>
        <v>0</v>
      </c>
      <c r="D80" s="197"/>
      <c r="E80" s="195"/>
      <c r="F80" s="39">
        <v>1</v>
      </c>
      <c r="G80" s="40">
        <f t="shared" si="0"/>
        <v>31</v>
      </c>
      <c r="H80" s="199"/>
      <c r="I80" s="41">
        <f>IF(Simulation!$C$12&gt;=$B$133,IF(AND(YEAR(Simulation!$C$11)=YEAR(A80),MONTH(A80)=MONTH(Simulation!$C$11)),1,0),0)</f>
        <v>0</v>
      </c>
      <c r="J80" s="42">
        <f t="shared" si="3"/>
        <v>0</v>
      </c>
      <c r="K80" s="43" t="str">
        <f t="shared" si="1"/>
        <v>ok</v>
      </c>
      <c r="L80" s="43">
        <f>IF(J80=1,IF(J81=0,IF(DAY(Simulation!$C$11)=1,0,DAY(Simulation!$C$11)-1),0),0)</f>
        <v>0</v>
      </c>
      <c r="M80" s="40">
        <f>IF(AND(J79=1,J80=1,J81=0,DAY(Simulation!$C$11)=1),0,IF(J80=1,IF(L80&lt;&gt;0,L80,C80),0))</f>
        <v>0</v>
      </c>
      <c r="N80" s="44">
        <f t="shared" si="2"/>
        <v>0</v>
      </c>
      <c r="O80" s="45">
        <f>IF($E$33=5,(($B$25*$B$11)/365)*$C80*$E$33*$F80*Simulation!$C$10,((($B$25*$B$11)/365)*$M80*Simulation!$C$10)+(($B$25*$B$11)/365)*$N80*$F80*Simulation!$C$10)</f>
        <v>0</v>
      </c>
      <c r="P80" s="46">
        <f>IF($E$33=5,(($B$26*$B$12)/365)*$C80*$E$33*$F80*Simulation!$C$10,((($B$26*$B$12)/365)*$M80*Simulation!$C$10)+(($B$26*$B$12)/365)*$N80*$F80*Simulation!$C$10)</f>
        <v>0</v>
      </c>
      <c r="Q80" s="79">
        <f>IF($E$33=5,($E$20/365)*$C80*$E$33*$F80*Simulation!$C$10,(($E$20/365)*$M80*Simulation!$C$10)+($E$20/365)*$N80*$F80*Simulation!$C$10)</f>
        <v>0</v>
      </c>
      <c r="R80" s="79" t="e">
        <f>IF($E$33=5,($E$21*#REF!/365)*$C80*$E$33*$F80*Simulation!$C$10,(($E$21*#REF!/365)*$M80*Simulation!$C$10)+($E$21*#REF!/365)*$N80*$F80*Simulation!$C$10)</f>
        <v>#REF!</v>
      </c>
    </row>
    <row r="81" spans="1:18" s="2" customFormat="1" ht="15" x14ac:dyDescent="0.25">
      <c r="A81" s="37">
        <v>44562</v>
      </c>
      <c r="B81" s="38">
        <v>44562</v>
      </c>
      <c r="C81" s="39">
        <f>MAX(0,MIN(EOMONTH(B81,0),Simulation!$C$12)-MAX(B81,Simulation!$C$11)+1)</f>
        <v>0</v>
      </c>
      <c r="D81" s="197"/>
      <c r="E81" s="195"/>
      <c r="F81" s="39">
        <v>1</v>
      </c>
      <c r="G81" s="40">
        <f t="shared" si="0"/>
        <v>31</v>
      </c>
      <c r="H81" s="199"/>
      <c r="I81" s="41">
        <f>IF(Simulation!$C$12&gt;=$B$133,IF(AND(YEAR(Simulation!$C$11)=YEAR(A81),MONTH(A81)=MONTH(Simulation!$C$11)),1,0),0)</f>
        <v>0</v>
      </c>
      <c r="J81" s="42">
        <f t="shared" ref="J81:J116" si="4">IF($H$33=0,0,IF($H$33=1,SUM(I69:I81),IF($H$33=2,SUM(I57:I81),IF($H$33=3,SUM(I45:I81),IF($H$33=4,SUM(I33:I81),"more than 4 years")))))</f>
        <v>0</v>
      </c>
      <c r="K81" s="43" t="str">
        <f t="shared" si="1"/>
        <v>ok</v>
      </c>
      <c r="L81" s="43">
        <f>IF(J81=1,IF(J82=0,IF(DAY(Simulation!$C$11)=1,0,DAY(Simulation!$C$11)-1),0),0)</f>
        <v>0</v>
      </c>
      <c r="M81" s="40">
        <f>IF(AND(J80=1,J81=1,J82=0,DAY(Simulation!$C$11)=1),0,IF(J81=1,IF(L81&lt;&gt;0,L81,C81),0))</f>
        <v>0</v>
      </c>
      <c r="N81" s="44">
        <f t="shared" si="2"/>
        <v>0</v>
      </c>
      <c r="O81" s="45">
        <f>IF($E$33=5,(($B$25*$B$11)/365)*$C81*$E$33*$F81*Simulation!$C$10,((($B$25*$B$11)/365)*$M81*Simulation!$C$10)+(($B$25*$B$11)/365)*$N81*$F81*Simulation!$C$10)</f>
        <v>0</v>
      </c>
      <c r="P81" s="46">
        <f>IF($E$33=5,(($B$26*$B$12)/365)*$C81*$E$33*$F81*Simulation!$C$10,((($B$26*$B$12)/365)*$M81*Simulation!$C$10)+(($B$26*$B$12)/365)*$N81*$F81*Simulation!$C$10)</f>
        <v>0</v>
      </c>
      <c r="Q81" s="79">
        <f>IF($E$33=5,($E$20/365)*$C81*$E$33*$F81*Simulation!$C$10,(($E$20/365)*$M81*Simulation!$C$10)+($E$20/365)*$N81*$F81*Simulation!$C$10)</f>
        <v>0</v>
      </c>
      <c r="R81" s="79" t="e">
        <f>IF($E$33=5,($E$21*#REF!/365)*$C81*$E$33*$F81*Simulation!$C$10,(($E$21*#REF!/365)*$M81*Simulation!$C$10)+($E$21*#REF!/365)*$N81*$F81*Simulation!$C$10)</f>
        <v>#REF!</v>
      </c>
    </row>
    <row r="82" spans="1:18" s="2" customFormat="1" ht="15" x14ac:dyDescent="0.25">
      <c r="A82" s="37">
        <v>44593</v>
      </c>
      <c r="B82" s="38">
        <v>44593</v>
      </c>
      <c r="C82" s="39">
        <f>MAX(0,MIN(EOMONTH(B82,0),Simulation!$C$12)-MAX(B82,Simulation!$C$11)+1)</f>
        <v>0</v>
      </c>
      <c r="D82" s="197"/>
      <c r="E82" s="195"/>
      <c r="F82" s="39">
        <v>1</v>
      </c>
      <c r="G82" s="40">
        <f t="shared" si="0"/>
        <v>28</v>
      </c>
      <c r="H82" s="199"/>
      <c r="I82" s="41">
        <f>IF(Simulation!$C$12&gt;=$B$133,IF(AND(YEAR(Simulation!$C$11)=YEAR(A82),MONTH(A82)=MONTH(Simulation!$C$11)),1,0),0)</f>
        <v>0</v>
      </c>
      <c r="J82" s="42">
        <f t="shared" si="4"/>
        <v>0</v>
      </c>
      <c r="K82" s="43" t="str">
        <f t="shared" si="1"/>
        <v>ok</v>
      </c>
      <c r="L82" s="43">
        <f>IF(J82=1,IF(J83=0,IF(DAY(Simulation!$C$11)=1,0,DAY(Simulation!$C$11)-1),0),0)</f>
        <v>0</v>
      </c>
      <c r="M82" s="40">
        <f>IF(AND(J81=1,J82=1,J83=0,DAY(Simulation!$C$11)=1),0,IF(J82=1,IF(L82&lt;&gt;0,L82,C82),0))</f>
        <v>0</v>
      </c>
      <c r="N82" s="44">
        <f t="shared" si="2"/>
        <v>0</v>
      </c>
      <c r="O82" s="45">
        <f>IF($E$33=5,(($B$25*$B$11)/365)*$C82*$E$33*$F82*Simulation!$C$10,((($B$25*$B$11)/365)*$M82*Simulation!$C$10)+(($B$25*$B$11)/365)*$N82*$F82*Simulation!$C$10)</f>
        <v>0</v>
      </c>
      <c r="P82" s="46">
        <f>IF($E$33=5,(($B$26*$B$12)/365)*$C82*$E$33*$F82*Simulation!$C$10,((($B$26*$B$12)/365)*$M82*Simulation!$C$10)+(($B$26*$B$12)/365)*$N82*$F82*Simulation!$C$10)</f>
        <v>0</v>
      </c>
      <c r="Q82" s="79">
        <f>IF($E$33=5,($E$20/365)*$C82*$E$33*$F82*Simulation!$C$10,(($E$20/365)*$M82*Simulation!$C$10)+($E$20/365)*$N82*$F82*Simulation!$C$10)</f>
        <v>0</v>
      </c>
      <c r="R82" s="79" t="e">
        <f>IF($E$33=5,($E$21*#REF!/365)*$C82*$E$33*$F82*Simulation!$C$10,(($E$21*#REF!/365)*$M82*Simulation!$C$10)+($E$21*#REF!/365)*$N82*$F82*Simulation!$C$10)</f>
        <v>#REF!</v>
      </c>
    </row>
    <row r="83" spans="1:18" s="2" customFormat="1" ht="15" x14ac:dyDescent="0.25">
      <c r="A83" s="37">
        <v>44621</v>
      </c>
      <c r="B83" s="38">
        <v>44621</v>
      </c>
      <c r="C83" s="39">
        <f>MAX(0,MIN(EOMONTH(B83,0),Simulation!$C$12)-MAX(B83,Simulation!$C$11)+1)</f>
        <v>0</v>
      </c>
      <c r="D83" s="197"/>
      <c r="E83" s="195"/>
      <c r="F83" s="39">
        <v>1</v>
      </c>
      <c r="G83" s="40">
        <f t="shared" si="0"/>
        <v>31</v>
      </c>
      <c r="H83" s="199"/>
      <c r="I83" s="41">
        <f>IF(Simulation!$C$12&gt;=$B$133,IF(AND(YEAR(Simulation!$C$11)=YEAR(A83),MONTH(A83)=MONTH(Simulation!$C$11)),1,0),0)</f>
        <v>0</v>
      </c>
      <c r="J83" s="42">
        <f t="shared" si="4"/>
        <v>0</v>
      </c>
      <c r="K83" s="43" t="str">
        <f t="shared" si="1"/>
        <v>ok</v>
      </c>
      <c r="L83" s="43">
        <f>IF(J83=1,IF(J84=0,IF(DAY(Simulation!$C$11)=1,0,DAY(Simulation!$C$11)-1),0),0)</f>
        <v>0</v>
      </c>
      <c r="M83" s="40">
        <f>IF(AND(J82=1,J83=1,J84=0,DAY(Simulation!$C$11)=1),0,IF(J83=1,IF(L83&lt;&gt;0,L83,C83),0))</f>
        <v>0</v>
      </c>
      <c r="N83" s="44">
        <f t="shared" si="2"/>
        <v>0</v>
      </c>
      <c r="O83" s="45">
        <f>IF($E$33=5,(($B$25*$B$11)/365)*$C83*$E$33*$F83*Simulation!$C$10,((($B$25*$B$11)/365)*$M83*Simulation!$C$10)+(($B$25*$B$11)/365)*$N83*$F83*Simulation!$C$10)</f>
        <v>0</v>
      </c>
      <c r="P83" s="46">
        <f>IF($E$33=5,(($B$26*$B$12)/365)*$C83*$E$33*$F83*Simulation!$C$10,((($B$26*$B$12)/365)*$M83*Simulation!$C$10)+(($B$26*$B$12)/365)*$N83*$F83*Simulation!$C$10)</f>
        <v>0</v>
      </c>
      <c r="Q83" s="79">
        <f>IF($E$33=5,($E$20/365)*$C83*$E$33*$F83*Simulation!$C$10,(($E$20/365)*$M83*Simulation!$C$10)+($E$20/365)*$N83*$F83*Simulation!$C$10)</f>
        <v>0</v>
      </c>
      <c r="R83" s="79" t="e">
        <f>IF($E$33=5,($E$21*#REF!/365)*$C83*$E$33*$F83*Simulation!$C$10,(($E$21*#REF!/365)*$M83*Simulation!$C$10)+($E$21*#REF!/365)*$N83*$F83*Simulation!$C$10)</f>
        <v>#REF!</v>
      </c>
    </row>
    <row r="84" spans="1:18" s="2" customFormat="1" ht="15" x14ac:dyDescent="0.25">
      <c r="A84" s="37">
        <v>44652</v>
      </c>
      <c r="B84" s="38">
        <v>44652</v>
      </c>
      <c r="C84" s="39">
        <f>MAX(0,MIN(EOMONTH(B84,0),Simulation!$C$12)-MAX(B84,Simulation!$C$11)+1)</f>
        <v>0</v>
      </c>
      <c r="D84" s="197"/>
      <c r="E84" s="195"/>
      <c r="F84" s="39">
        <v>1</v>
      </c>
      <c r="G84" s="40">
        <f t="shared" si="0"/>
        <v>30</v>
      </c>
      <c r="H84" s="199"/>
      <c r="I84" s="41">
        <f>IF(Simulation!$C$12&gt;=$B$133,IF(AND(YEAR(Simulation!$C$11)=YEAR(A84),MONTH(A84)=MONTH(Simulation!$C$11)),1,0),0)</f>
        <v>0</v>
      </c>
      <c r="J84" s="42">
        <f t="shared" si="4"/>
        <v>0</v>
      </c>
      <c r="K84" s="43" t="str">
        <f t="shared" si="1"/>
        <v>ok</v>
      </c>
      <c r="L84" s="43">
        <f>IF(J84=1,IF(J85=0,IF(DAY(Simulation!$C$11)=1,0,DAY(Simulation!$C$11)-1),0),0)</f>
        <v>0</v>
      </c>
      <c r="M84" s="40">
        <f>IF(AND(J83=1,J84=1,J85=0,DAY(Simulation!$C$11)=1),0,IF(J84=1,IF(L84&lt;&gt;0,L84,C84),0))</f>
        <v>0</v>
      </c>
      <c r="N84" s="44">
        <f t="shared" si="2"/>
        <v>0</v>
      </c>
      <c r="O84" s="45">
        <f>IF($E$33=5,(($B$25*$B$11)/365)*$C84*$E$33*$F84*Simulation!$C$10,((($B$25*$B$11)/365)*$M84*Simulation!$C$10)+(($B$25*$B$11)/365)*$N84*$F84*Simulation!$C$10)</f>
        <v>0</v>
      </c>
      <c r="P84" s="46">
        <f>IF($E$33=5,(($B$26*$B$12)/365)*$C84*$E$33*$F84*Simulation!$C$10,((($B$26*$B$12)/365)*$M84*Simulation!$C$10)+(($B$26*$B$12)/365)*$N84*$F84*Simulation!$C$10)</f>
        <v>0</v>
      </c>
      <c r="Q84" s="79">
        <f>IF($E$33=5,($E$20/365)*$C84*$E$33*$F84*Simulation!$C$10,(($E$20/365)*$M84*Simulation!$C$10)+($E$20/365)*$N84*$F84*Simulation!$C$10)</f>
        <v>0</v>
      </c>
      <c r="R84" s="79" t="e">
        <f>IF($E$33=5,($E$21*#REF!/365)*$C84*$E$33*$F84*Simulation!$C$10,(($E$21*#REF!/365)*$M84*Simulation!$C$10)+($E$21*#REF!/365)*$N84*$F84*Simulation!$C$10)</f>
        <v>#REF!</v>
      </c>
    </row>
    <row r="85" spans="1:18" s="2" customFormat="1" ht="15" x14ac:dyDescent="0.25">
      <c r="A85" s="37">
        <v>44682</v>
      </c>
      <c r="B85" s="38">
        <v>44682</v>
      </c>
      <c r="C85" s="39">
        <f>MAX(0,MIN(EOMONTH(B85,0),Simulation!$C$12)-MAX(B85,Simulation!$C$11)+1)</f>
        <v>0</v>
      </c>
      <c r="D85" s="197"/>
      <c r="E85" s="195"/>
      <c r="F85" s="39">
        <v>1</v>
      </c>
      <c r="G85" s="40">
        <f t="shared" si="0"/>
        <v>31</v>
      </c>
      <c r="H85" s="199"/>
      <c r="I85" s="41">
        <f>IF(Simulation!$C$12&gt;=$B$133,IF(AND(YEAR(Simulation!$C$11)=YEAR(A85),MONTH(A85)=MONTH(Simulation!$C$11)),1,0),0)</f>
        <v>0</v>
      </c>
      <c r="J85" s="42">
        <f t="shared" si="4"/>
        <v>0</v>
      </c>
      <c r="K85" s="43" t="str">
        <f t="shared" si="1"/>
        <v>ok</v>
      </c>
      <c r="L85" s="43">
        <f>IF(J85=1,IF(J86=0,IF(DAY(Simulation!$C$11)=1,0,DAY(Simulation!$C$11)-1),0),0)</f>
        <v>0</v>
      </c>
      <c r="M85" s="40">
        <f>IF(AND(J84=1,J85=1,J86=0,DAY(Simulation!$C$11)=1),0,IF(J85=1,IF(L85&lt;&gt;0,L85,C85),0))</f>
        <v>0</v>
      </c>
      <c r="N85" s="44">
        <f t="shared" si="2"/>
        <v>0</v>
      </c>
      <c r="O85" s="45">
        <f>IF($E$33=5,(($B$25*$B$11)/365)*$C85*$E$33*$F85*Simulation!$C$10,((($B$25*$B$11)/365)*$M85*Simulation!$C$10)+(($B$25*$B$11)/365)*$N85*$F85*Simulation!$C$10)</f>
        <v>0</v>
      </c>
      <c r="P85" s="46">
        <f>IF($E$33=5,(($B$26*$B$12)/365)*$C85*$E$33*$F85*Simulation!$C$10,((($B$26*$B$12)/365)*$M85*Simulation!$C$10)+(($B$26*$B$12)/365)*$N85*$F85*Simulation!$C$10)</f>
        <v>0</v>
      </c>
      <c r="Q85" s="79">
        <f>IF($E$33=5,($E$20/365)*$C85*$E$33*$F85*Simulation!$C$10,(($E$20/365)*$M85*Simulation!$C$10)+($E$20/365)*$N85*$F85*Simulation!$C$10)</f>
        <v>0</v>
      </c>
      <c r="R85" s="79" t="e">
        <f>IF($E$33=5,($E$21*#REF!/365)*$C85*$E$33*$F85*Simulation!$C$10,(($E$21*#REF!/365)*$M85*Simulation!$C$10)+($E$21*#REF!/365)*$N85*$F85*Simulation!$C$10)</f>
        <v>#REF!</v>
      </c>
    </row>
    <row r="86" spans="1:18" s="2" customFormat="1" ht="15" x14ac:dyDescent="0.25">
      <c r="A86" s="37">
        <v>44713</v>
      </c>
      <c r="B86" s="38">
        <v>44713</v>
      </c>
      <c r="C86" s="39">
        <f>MAX(0,MIN(EOMONTH(B86,0),Simulation!$C$12)-MAX(B86,Simulation!$C$11)+1)</f>
        <v>0</v>
      </c>
      <c r="D86" s="197"/>
      <c r="E86" s="195"/>
      <c r="F86" s="39">
        <v>1</v>
      </c>
      <c r="G86" s="40">
        <f t="shared" si="0"/>
        <v>30</v>
      </c>
      <c r="H86" s="199"/>
      <c r="I86" s="41">
        <f>IF(Simulation!$C$12&gt;=$B$133,IF(AND(YEAR(Simulation!$C$11)=YEAR(A86),MONTH(A86)=MONTH(Simulation!$C$11)),1,0),0)</f>
        <v>0</v>
      </c>
      <c r="J86" s="42">
        <f t="shared" si="4"/>
        <v>0</v>
      </c>
      <c r="K86" s="43" t="str">
        <f t="shared" si="1"/>
        <v>ok</v>
      </c>
      <c r="L86" s="43">
        <f>IF(J86=1,IF(J87=0,IF(DAY(Simulation!$C$11)=1,0,DAY(Simulation!$C$11)-1),0),0)</f>
        <v>0</v>
      </c>
      <c r="M86" s="40">
        <f>IF(AND(J85=1,J86=1,J87=0,DAY(Simulation!$C$11)=1),0,IF(J86=1,IF(L86&lt;&gt;0,L86,C86),0))</f>
        <v>0</v>
      </c>
      <c r="N86" s="44">
        <f t="shared" si="2"/>
        <v>0</v>
      </c>
      <c r="O86" s="45">
        <f>IF($E$33=5,(($B$25*$B$11)/365)*$C86*$E$33*$F86*Simulation!$C$10,((($B$25*$B$11)/365)*$M86*Simulation!$C$10)+(($B$25*$B$11)/365)*$N86*$F86*Simulation!$C$10)</f>
        <v>0</v>
      </c>
      <c r="P86" s="46">
        <f>IF($E$33=5,(($B$26*$B$12)/365)*$C86*$E$33*$F86*Simulation!$C$10,((($B$26*$B$12)/365)*$M86*Simulation!$C$10)+(($B$26*$B$12)/365)*$N86*$F86*Simulation!$C$10)</f>
        <v>0</v>
      </c>
      <c r="Q86" s="79">
        <f>IF($E$33=5,($E$20/365)*$C86*$E$33*$F86*Simulation!$C$10,(($E$20/365)*$M86*Simulation!$C$10)+($E$20/365)*$N86*$F86*Simulation!$C$10)</f>
        <v>0</v>
      </c>
      <c r="R86" s="79" t="e">
        <f>IF($E$33=5,($E$21*#REF!/365)*$C86*$E$33*$F86*Simulation!$C$10,(($E$21*#REF!/365)*$M86*Simulation!$C$10)+($E$21*#REF!/365)*$N86*$F86*Simulation!$C$10)</f>
        <v>#REF!</v>
      </c>
    </row>
    <row r="87" spans="1:18" s="2" customFormat="1" ht="15" x14ac:dyDescent="0.25">
      <c r="A87" s="37">
        <v>44743</v>
      </c>
      <c r="B87" s="38">
        <v>44743</v>
      </c>
      <c r="C87" s="39">
        <f>MAX(0,MIN(EOMONTH(B87,0),Simulation!$C$12)-MAX(B87,Simulation!$C$11)+1)</f>
        <v>0</v>
      </c>
      <c r="D87" s="197"/>
      <c r="E87" s="195"/>
      <c r="F87" s="39">
        <v>1</v>
      </c>
      <c r="G87" s="40">
        <f t="shared" si="0"/>
        <v>31</v>
      </c>
      <c r="H87" s="199"/>
      <c r="I87" s="41">
        <f>IF(Simulation!$C$12&gt;=$B$133,IF(AND(YEAR(Simulation!$C$11)=YEAR(A87),MONTH(A87)=MONTH(Simulation!$C$11)),1,0),0)</f>
        <v>0</v>
      </c>
      <c r="J87" s="42">
        <f t="shared" si="4"/>
        <v>0</v>
      </c>
      <c r="K87" s="43" t="str">
        <f t="shared" si="1"/>
        <v>ok</v>
      </c>
      <c r="L87" s="43">
        <f>IF(J87=1,IF(J88=0,IF(DAY(Simulation!$C$11)=1,0,DAY(Simulation!$C$11)-1),0),0)</f>
        <v>0</v>
      </c>
      <c r="M87" s="40">
        <f>IF(AND(J86=1,J87=1,J88=0,DAY(Simulation!$C$11)=1),0,IF(J87=1,IF(L87&lt;&gt;0,L87,C87),0))</f>
        <v>0</v>
      </c>
      <c r="N87" s="44">
        <f t="shared" si="2"/>
        <v>0</v>
      </c>
      <c r="O87" s="45">
        <f>IF($E$33=5,(($B$25*$B$11)/365)*$C87*$E$33*$F87*Simulation!$C$10,((($B$25*$B$11)/365)*$M87*Simulation!$C$10)+(($B$25*$B$11)/365)*$N87*$F87*Simulation!$C$10)</f>
        <v>0</v>
      </c>
      <c r="P87" s="46">
        <f>IF($E$33=5,(($B$26*$B$12)/365)*$C87*$E$33*$F87*Simulation!$C$10,((($B$26*$B$12)/365)*$M87*Simulation!$C$10)+(($B$26*$B$12)/365)*$N87*$F87*Simulation!$C$10)</f>
        <v>0</v>
      </c>
      <c r="Q87" s="79">
        <f>IF($E$33=5,($E$20/365)*$C87*$E$33*$F87*Simulation!$C$10,(($E$20/365)*$M87*Simulation!$C$10)+($E$20/365)*$N87*$F87*Simulation!$C$10)</f>
        <v>0</v>
      </c>
      <c r="R87" s="79" t="e">
        <f>IF($E$33=5,($E$21*#REF!/365)*$C87*$E$33*$F87*Simulation!$C$10,(($E$21*#REF!/365)*$M87*Simulation!$C$10)+($E$21*#REF!/365)*$N87*$F87*Simulation!$C$10)</f>
        <v>#REF!</v>
      </c>
    </row>
    <row r="88" spans="1:18" s="2" customFormat="1" ht="15" x14ac:dyDescent="0.25">
      <c r="A88" s="37">
        <v>44774</v>
      </c>
      <c r="B88" s="38">
        <v>44774</v>
      </c>
      <c r="C88" s="39">
        <f>MAX(0,MIN(EOMONTH(B88,0),Simulation!$C$12)-MAX(B88,Simulation!$C$11)+1)</f>
        <v>0</v>
      </c>
      <c r="D88" s="197"/>
      <c r="E88" s="195"/>
      <c r="F88" s="39">
        <v>1</v>
      </c>
      <c r="G88" s="40">
        <f t="shared" si="0"/>
        <v>31</v>
      </c>
      <c r="H88" s="199"/>
      <c r="I88" s="41">
        <f>IF(Simulation!$C$12&gt;=$B$133,IF(AND(YEAR(Simulation!$C$11)=YEAR(A88),MONTH(A88)=MONTH(Simulation!$C$11)),1,0),0)</f>
        <v>0</v>
      </c>
      <c r="J88" s="42">
        <f t="shared" si="4"/>
        <v>0</v>
      </c>
      <c r="K88" s="43" t="str">
        <f t="shared" si="1"/>
        <v>ok</v>
      </c>
      <c r="L88" s="43">
        <f>IF(J88=1,IF(J89=0,IF(DAY(Simulation!$C$11)=1,0,DAY(Simulation!$C$11)-1),0),0)</f>
        <v>0</v>
      </c>
      <c r="M88" s="40">
        <f>IF(AND(J87=1,J88=1,J89=0,DAY(Simulation!$C$11)=1),0,IF(J88=1,IF(L88&lt;&gt;0,L88,C88),0))</f>
        <v>0</v>
      </c>
      <c r="N88" s="44">
        <f t="shared" si="2"/>
        <v>0</v>
      </c>
      <c r="O88" s="45">
        <f>IF($E$33=5,(($B$25*$B$11)/365)*$C88*$E$33*$F88*Simulation!$C$10,((($B$25*$B$11)/365)*$M88*Simulation!$C$10)+(($B$25*$B$11)/365)*$N88*$F88*Simulation!$C$10)</f>
        <v>0</v>
      </c>
      <c r="P88" s="46">
        <f>IF($E$33=5,(($B$26*$B$12)/365)*$C88*$E$33*$F88*Simulation!$C$10,((($B$26*$B$12)/365)*$M88*Simulation!$C$10)+(($B$26*$B$12)/365)*$N88*$F88*Simulation!$C$10)</f>
        <v>0</v>
      </c>
      <c r="Q88" s="79">
        <f>IF($E$33=5,($E$20/365)*$C88*$E$33*$F88*Simulation!$C$10,(($E$20/365)*$M88*Simulation!$C$10)+($E$20/365)*$N88*$F88*Simulation!$C$10)</f>
        <v>0</v>
      </c>
      <c r="R88" s="79" t="e">
        <f>IF($E$33=5,($E$21*#REF!/365)*$C88*$E$33*$F88*Simulation!$C$10,(($E$21*#REF!/365)*$M88*Simulation!$C$10)+($E$21*#REF!/365)*$N88*$F88*Simulation!$C$10)</f>
        <v>#REF!</v>
      </c>
    </row>
    <row r="89" spans="1:18" s="2" customFormat="1" ht="15" x14ac:dyDescent="0.25">
      <c r="A89" s="37">
        <v>44805</v>
      </c>
      <c r="B89" s="38">
        <v>44805</v>
      </c>
      <c r="C89" s="39">
        <f>MAX(0,MIN(EOMONTH(B89,0),Simulation!$C$12)-MAX(B89,Simulation!$C$11)+1)</f>
        <v>0</v>
      </c>
      <c r="D89" s="197"/>
      <c r="E89" s="195"/>
      <c r="F89" s="39">
        <v>1</v>
      </c>
      <c r="G89" s="40">
        <f t="shared" si="0"/>
        <v>30</v>
      </c>
      <c r="H89" s="199"/>
      <c r="I89" s="41">
        <f>IF(Simulation!$C$12&gt;=$B$133,IF(AND(YEAR(Simulation!$C$11)=YEAR(A89),MONTH(A89)=MONTH(Simulation!$C$11)),1,0),0)</f>
        <v>0</v>
      </c>
      <c r="J89" s="42">
        <f t="shared" si="4"/>
        <v>0</v>
      </c>
      <c r="K89" s="43" t="str">
        <f t="shared" si="1"/>
        <v>ok</v>
      </c>
      <c r="L89" s="43">
        <f>IF(J89=1,IF(J90=0,IF(DAY(Simulation!$C$11)=1,0,DAY(Simulation!$C$11)-1),0),0)</f>
        <v>0</v>
      </c>
      <c r="M89" s="40">
        <f>IF(AND(J88=1,J89=1,J90=0,DAY(Simulation!$C$11)=1),0,IF(J89=1,IF(L89&lt;&gt;0,L89,C89),0))</f>
        <v>0</v>
      </c>
      <c r="N89" s="44">
        <f t="shared" si="2"/>
        <v>0</v>
      </c>
      <c r="O89" s="45">
        <f>IF($E$33=5,(($B$25*$B$11)/365)*$C89*$E$33*$F89*Simulation!$C$10,((($B$25*$B$11)/365)*$M89*Simulation!$C$10)+(($B$25*$B$11)/365)*$N89*$F89*Simulation!$C$10)</f>
        <v>0</v>
      </c>
      <c r="P89" s="46">
        <f>IF($E$33=5,(($B$26*$B$12)/365)*$C89*$E$33*$F89*Simulation!$C$10,((($B$26*$B$12)/365)*$M89*Simulation!$C$10)+(($B$26*$B$12)/365)*$N89*$F89*Simulation!$C$10)</f>
        <v>0</v>
      </c>
      <c r="Q89" s="79">
        <f>IF($E$33=5,($E$20/365)*$C89*$E$33*$F89*Simulation!$C$10,(($E$20/365)*$M89*Simulation!$C$10)+($E$20/365)*$N89*$F89*Simulation!$C$10)</f>
        <v>0</v>
      </c>
      <c r="R89" s="79" t="e">
        <f>IF($E$33=5,($E$21*#REF!/365)*$C89*$E$33*$F89*Simulation!$C$10,(($E$21*#REF!/365)*$M89*Simulation!$C$10)+($E$21*#REF!/365)*$N89*$F89*Simulation!$C$10)</f>
        <v>#REF!</v>
      </c>
    </row>
    <row r="90" spans="1:18" s="2" customFormat="1" ht="15" x14ac:dyDescent="0.25">
      <c r="A90" s="37">
        <v>44835</v>
      </c>
      <c r="B90" s="38">
        <v>44835</v>
      </c>
      <c r="C90" s="39">
        <f>MAX(0,MIN(EOMONTH(B90,0),Simulation!$C$12)-MAX(B90,Simulation!$C$11)+1)</f>
        <v>0</v>
      </c>
      <c r="D90" s="197"/>
      <c r="E90" s="195"/>
      <c r="F90" s="39">
        <v>1</v>
      </c>
      <c r="G90" s="40">
        <f t="shared" si="0"/>
        <v>31</v>
      </c>
      <c r="H90" s="199"/>
      <c r="I90" s="41">
        <f>IF(Simulation!$C$12&gt;=$B$133,IF(AND(YEAR(Simulation!$C$11)=YEAR(A90),MONTH(A90)=MONTH(Simulation!$C$11)),1,0),0)</f>
        <v>0</v>
      </c>
      <c r="J90" s="42">
        <f t="shared" si="4"/>
        <v>0</v>
      </c>
      <c r="K90" s="43" t="str">
        <f t="shared" si="1"/>
        <v>ok</v>
      </c>
      <c r="L90" s="43">
        <f>IF(J90=1,IF(J91=0,IF(DAY(Simulation!$C$11)=1,0,DAY(Simulation!$C$11)-1),0),0)</f>
        <v>0</v>
      </c>
      <c r="M90" s="40">
        <f>IF(AND(J89=1,J90=1,J91=0,DAY(Simulation!$C$11)=1),0,IF(J90=1,IF(L90&lt;&gt;0,L90,C90),0))</f>
        <v>0</v>
      </c>
      <c r="N90" s="44">
        <f t="shared" si="2"/>
        <v>0</v>
      </c>
      <c r="O90" s="45">
        <f>IF($E$33=5,(($B$25*$B$11)/365)*$C90*$E$33*$F90*Simulation!$C$10,((($B$25*$B$11)/365)*$M90*Simulation!$C$10)+(($B$25*$B$11)/365)*$N90*$F90*Simulation!$C$10)</f>
        <v>0</v>
      </c>
      <c r="P90" s="46">
        <f>IF($E$33=5,(($B$26*$B$12)/365)*$C90*$E$33*$F90*Simulation!$C$10,((($B$26*$B$12)/365)*$M90*Simulation!$C$10)+(($B$26*$B$12)/365)*$N90*$F90*Simulation!$C$10)</f>
        <v>0</v>
      </c>
      <c r="Q90" s="79">
        <f>IF($E$33=5,($E$20/365)*$C90*$E$33*$F90*Simulation!$C$10,(($E$20/365)*$M90*Simulation!$C$10)+($E$20/365)*$N90*$F90*Simulation!$C$10)</f>
        <v>0</v>
      </c>
      <c r="R90" s="79" t="e">
        <f>IF($E$33=5,($E$21*#REF!/365)*$C90*$E$33*$F90*Simulation!$C$10,(($E$21*#REF!/365)*$M90*Simulation!$C$10)+($E$21*#REF!/365)*$N90*$F90*Simulation!$C$10)</f>
        <v>#REF!</v>
      </c>
    </row>
    <row r="91" spans="1:18" s="2" customFormat="1" ht="15" x14ac:dyDescent="0.25">
      <c r="A91" s="37">
        <v>44866</v>
      </c>
      <c r="B91" s="38">
        <v>44866</v>
      </c>
      <c r="C91" s="39">
        <f>MAX(0,MIN(EOMONTH(B91,0),Simulation!$C$12)-MAX(B91,Simulation!$C$11)+1)</f>
        <v>0</v>
      </c>
      <c r="D91" s="197"/>
      <c r="E91" s="195"/>
      <c r="F91" s="39">
        <v>1</v>
      </c>
      <c r="G91" s="40">
        <f t="shared" si="0"/>
        <v>30</v>
      </c>
      <c r="H91" s="199"/>
      <c r="I91" s="41">
        <f>IF(Simulation!$C$12&gt;=$B$133,IF(AND(YEAR(Simulation!$C$11)=YEAR(A91),MONTH(A91)=MONTH(Simulation!$C$11)),1,0),0)</f>
        <v>0</v>
      </c>
      <c r="J91" s="42">
        <f t="shared" si="4"/>
        <v>0</v>
      </c>
      <c r="K91" s="43" t="str">
        <f t="shared" si="1"/>
        <v>ok</v>
      </c>
      <c r="L91" s="43">
        <f>IF(J91=1,IF(J92=0,IF(DAY(Simulation!$C$11)=1,0,DAY(Simulation!$C$11)-1),0),0)</f>
        <v>0</v>
      </c>
      <c r="M91" s="40">
        <f>IF(AND(J90=1,J91=1,J92=0,DAY(Simulation!$C$11)=1),0,IF(J91=1,IF(L91&lt;&gt;0,L91,C91),0))</f>
        <v>0</v>
      </c>
      <c r="N91" s="44">
        <f t="shared" si="2"/>
        <v>0</v>
      </c>
      <c r="O91" s="45">
        <f>IF($E$33=5,(($B$25*$B$11)/365)*$C91*$E$33*$F91*Simulation!$C$10,((($B$25*$B$11)/365)*$M91*Simulation!$C$10)+(($B$25*$B$11)/365)*$N91*$F91*Simulation!$C$10)</f>
        <v>0</v>
      </c>
      <c r="P91" s="46">
        <f>IF($E$33=5,(($B$26*$B$12)/365)*$C91*$E$33*$F91*Simulation!$C$10,((($B$26*$B$12)/365)*$M91*Simulation!$C$10)+(($B$26*$B$12)/365)*$N91*$F91*Simulation!$C$10)</f>
        <v>0</v>
      </c>
      <c r="Q91" s="79">
        <f>IF($E$33=5,($E$20/365)*$C91*$E$33*$F91*Simulation!$C$10,(($E$20/365)*$M91*Simulation!$C$10)+($E$20/365)*$N91*$F91*Simulation!$C$10)</f>
        <v>0</v>
      </c>
      <c r="R91" s="79" t="e">
        <f>IF($E$33=5,($E$21*#REF!/365)*$C91*$E$33*$F91*Simulation!$C$10,(($E$21*#REF!/365)*$M91*Simulation!$C$10)+($E$21*#REF!/365)*$N91*$F91*Simulation!$C$10)</f>
        <v>#REF!</v>
      </c>
    </row>
    <row r="92" spans="1:18" s="2" customFormat="1" ht="15" x14ac:dyDescent="0.25">
      <c r="A92" s="37">
        <v>44896</v>
      </c>
      <c r="B92" s="38">
        <v>44896</v>
      </c>
      <c r="C92" s="39">
        <f>MAX(0,MIN(EOMONTH(B92,0),Simulation!$C$12)-MAX(B92,Simulation!$C$11)+1)</f>
        <v>0</v>
      </c>
      <c r="D92" s="197"/>
      <c r="E92" s="195"/>
      <c r="F92" s="39">
        <v>1</v>
      </c>
      <c r="G92" s="40">
        <f t="shared" si="0"/>
        <v>31</v>
      </c>
      <c r="H92" s="199"/>
      <c r="I92" s="41">
        <f>IF(Simulation!$C$12&gt;=$B$133,IF(AND(YEAR(Simulation!$C$11)=YEAR(A92),MONTH(A92)=MONTH(Simulation!$C$11)),1,0),0)</f>
        <v>0</v>
      </c>
      <c r="J92" s="42">
        <f t="shared" si="4"/>
        <v>0</v>
      </c>
      <c r="K92" s="43" t="str">
        <f t="shared" si="1"/>
        <v>ok</v>
      </c>
      <c r="L92" s="43">
        <f>IF(J92=1,IF(J93=0,IF(DAY(Simulation!$C$11)=1,0,DAY(Simulation!$C$11)-1),0),0)</f>
        <v>0</v>
      </c>
      <c r="M92" s="40">
        <f>IF(AND(J91=1,J92=1,J93=0,DAY(Simulation!$C$11)=1),0,IF(J92=1,IF(L92&lt;&gt;0,L92,C92),0))</f>
        <v>0</v>
      </c>
      <c r="N92" s="44">
        <f t="shared" si="2"/>
        <v>0</v>
      </c>
      <c r="O92" s="45">
        <f>IF($E$33=5,(($B$25*$B$11)/365)*$C92*$E$33*$F92*Simulation!$C$10,((($B$25*$B$11)/365)*$M92*Simulation!$C$10)+(($B$25*$B$11)/365)*$N92*$F92*Simulation!$C$10)</f>
        <v>0</v>
      </c>
      <c r="P92" s="46">
        <f>IF($E$33=5,(($B$26*$B$12)/365)*$C92*$E$33*$F92*Simulation!$C$10,((($B$26*$B$12)/365)*$M92*Simulation!$C$10)+(($B$26*$B$12)/365)*$N92*$F92*Simulation!$C$10)</f>
        <v>0</v>
      </c>
      <c r="Q92" s="79">
        <f>IF($E$33=5,($E$20/365)*$C92*$E$33*$F92*Simulation!$C$10,(($E$20/365)*$M92*Simulation!$C$10)+($E$20/365)*$N92*$F92*Simulation!$C$10)</f>
        <v>0</v>
      </c>
      <c r="R92" s="79" t="e">
        <f>IF($E$33=5,($E$21*#REF!/365)*$C92*$E$33*$F92*Simulation!$C$10,(($E$21*#REF!/365)*$M92*Simulation!$C$10)+($E$21*#REF!/365)*$N92*$F92*Simulation!$C$10)</f>
        <v>#REF!</v>
      </c>
    </row>
    <row r="93" spans="1:18" s="2" customFormat="1" ht="15" x14ac:dyDescent="0.25">
      <c r="A93" s="37">
        <v>44927</v>
      </c>
      <c r="B93" s="38">
        <v>44927</v>
      </c>
      <c r="C93" s="39">
        <f>MAX(0,MIN(EOMONTH(B93,0),Simulation!$C$12)-MAX(B93,Simulation!$C$11)+1)</f>
        <v>0</v>
      </c>
      <c r="D93" s="197"/>
      <c r="E93" s="195"/>
      <c r="F93" s="39">
        <v>1</v>
      </c>
      <c r="G93" s="40">
        <f t="shared" si="0"/>
        <v>31</v>
      </c>
      <c r="H93" s="199"/>
      <c r="I93" s="41">
        <f>IF(Simulation!$C$12&gt;=$B$133,IF(AND(YEAR(Simulation!$C$11)=YEAR(A93),MONTH(A93)=MONTH(Simulation!$C$11)),1,0),0)</f>
        <v>0</v>
      </c>
      <c r="J93" s="42">
        <f t="shared" si="4"/>
        <v>0</v>
      </c>
      <c r="K93" s="43" t="str">
        <f t="shared" si="1"/>
        <v>ok</v>
      </c>
      <c r="L93" s="43">
        <f>IF(J93=1,IF(J94=0,IF(DAY(Simulation!$C$11)=1,0,DAY(Simulation!$C$11)-1),0),0)</f>
        <v>0</v>
      </c>
      <c r="M93" s="40">
        <f>IF(AND(J92=1,J93=1,J94=0,DAY(Simulation!$C$11)=1),0,IF(J93=1,IF(L93&lt;&gt;0,L93,C93),0))</f>
        <v>0</v>
      </c>
      <c r="N93" s="44">
        <f t="shared" si="2"/>
        <v>0</v>
      </c>
      <c r="O93" s="45">
        <f>IF($E$33=5,(($B$25*$B$11)/365)*$C93*$E$33*$F93*Simulation!$C$10,((($B$25*$B$11)/365)*$M93*Simulation!$C$10)+(($B$25*$B$11)/365)*$N93*$F93*Simulation!$C$10)</f>
        <v>0</v>
      </c>
      <c r="P93" s="46">
        <f>IF($E$33=5,(($B$26*$B$12)/365)*$C93*$E$33*$F93*Simulation!$C$10,((($B$26*$B$12)/365)*$M93*Simulation!$C$10)+(($B$26*$B$12)/365)*$N93*$F93*Simulation!$C$10)</f>
        <v>0</v>
      </c>
      <c r="Q93" s="79">
        <f>IF($E$33=5,($E$20/365)*$C93*$E$33*$F93*Simulation!$C$10,(($E$20/365)*$M93*Simulation!$C$10)+($E$20/365)*$N93*$F93*Simulation!$C$10)</f>
        <v>0</v>
      </c>
      <c r="R93" s="79" t="e">
        <f>IF($E$33=5,($E$21*#REF!/365)*$C93*$E$33*$F93*Simulation!$C$10,(($E$21*#REF!/365)*$M93*Simulation!$C$10)+($E$21*#REF!/365)*$N93*$F93*Simulation!$C$10)</f>
        <v>#REF!</v>
      </c>
    </row>
    <row r="94" spans="1:18" s="2" customFormat="1" ht="15" x14ac:dyDescent="0.25">
      <c r="A94" s="37">
        <v>44958</v>
      </c>
      <c r="B94" s="38">
        <v>44958</v>
      </c>
      <c r="C94" s="39">
        <f>MAX(0,MIN(EOMONTH(B94,0),Simulation!$C$12)-MAX(B94,Simulation!$C$11)+1)</f>
        <v>0</v>
      </c>
      <c r="D94" s="197"/>
      <c r="E94" s="195"/>
      <c r="F94" s="39">
        <v>1</v>
      </c>
      <c r="G94" s="40">
        <f t="shared" si="0"/>
        <v>28</v>
      </c>
      <c r="H94" s="199"/>
      <c r="I94" s="41">
        <f>IF(Simulation!$C$12&gt;=$B$133,IF(AND(YEAR(Simulation!$C$11)=YEAR(A94),MONTH(A94)=MONTH(Simulation!$C$11)),1,0),0)</f>
        <v>0</v>
      </c>
      <c r="J94" s="42">
        <f t="shared" si="4"/>
        <v>0</v>
      </c>
      <c r="K94" s="43" t="str">
        <f t="shared" si="1"/>
        <v>ok</v>
      </c>
      <c r="L94" s="43">
        <f>IF(J94=1,IF(J95=0,IF(DAY(Simulation!$C$11)=1,0,DAY(Simulation!$C$11)-1),0),0)</f>
        <v>0</v>
      </c>
      <c r="M94" s="40">
        <f>IF(AND(J93=1,J94=1,J95=0,DAY(Simulation!$C$11)=1),0,IF(J94=1,IF(L94&lt;&gt;0,L94,C94),0))</f>
        <v>0</v>
      </c>
      <c r="N94" s="44">
        <f t="shared" si="2"/>
        <v>0</v>
      </c>
      <c r="O94" s="45">
        <f>IF($E$33=5,(($B$25*$B$11)/365)*$C94*$E$33*$F94*Simulation!$C$10,((($B$25*$B$11)/365)*$M94*Simulation!$C$10)+(($B$25*$B$11)/365)*$N94*$F94*Simulation!$C$10)</f>
        <v>0</v>
      </c>
      <c r="P94" s="46">
        <f>IF($E$33=5,(($B$26*$B$12)/365)*$C94*$E$33*$F94*Simulation!$C$10,((($B$26*$B$12)/365)*$M94*Simulation!$C$10)+(($B$26*$B$12)/365)*$N94*$F94*Simulation!$C$10)</f>
        <v>0</v>
      </c>
      <c r="Q94" s="79">
        <f>IF($E$33=5,($E$20/365)*$C94*$E$33*$F94*Simulation!$C$10,(($E$20/365)*$M94*Simulation!$C$10)+($E$20/365)*$N94*$F94*Simulation!$C$10)</f>
        <v>0</v>
      </c>
      <c r="R94" s="79" t="e">
        <f>IF($E$33=5,($E$21*#REF!/365)*$C94*$E$33*$F94*Simulation!$C$10,(($E$21*#REF!/365)*$M94*Simulation!$C$10)+($E$21*#REF!/365)*$N94*$F94*Simulation!$C$10)</f>
        <v>#REF!</v>
      </c>
    </row>
    <row r="95" spans="1:18" s="2" customFormat="1" ht="15" x14ac:dyDescent="0.25">
      <c r="A95" s="37">
        <v>44986</v>
      </c>
      <c r="B95" s="38">
        <v>44986</v>
      </c>
      <c r="C95" s="39">
        <f>MAX(0,MIN(EOMONTH(B95,0),Simulation!$C$12)-MAX(B95,Simulation!$C$11)+1)</f>
        <v>0</v>
      </c>
      <c r="D95" s="197"/>
      <c r="E95" s="195"/>
      <c r="F95" s="39">
        <v>1</v>
      </c>
      <c r="G95" s="40">
        <f t="shared" si="0"/>
        <v>31</v>
      </c>
      <c r="H95" s="199"/>
      <c r="I95" s="41">
        <f>IF(Simulation!$C$12&gt;=$B$133,IF(AND(YEAR(Simulation!$C$11)=YEAR(A95),MONTH(A95)=MONTH(Simulation!$C$11)),1,0),0)</f>
        <v>0</v>
      </c>
      <c r="J95" s="42">
        <f t="shared" si="4"/>
        <v>0</v>
      </c>
      <c r="K95" s="43" t="str">
        <f t="shared" si="1"/>
        <v>ok</v>
      </c>
      <c r="L95" s="43">
        <f>IF(J95=1,IF(J96=0,IF(DAY(Simulation!$C$11)=1,0,DAY(Simulation!$C$11)-1),0),0)</f>
        <v>0</v>
      </c>
      <c r="M95" s="40">
        <f>IF(AND(J94=1,J95=1,J96=0,DAY(Simulation!$C$11)=1),0,IF(J95=1,IF(L95&lt;&gt;0,L95,C95),0))</f>
        <v>0</v>
      </c>
      <c r="N95" s="44">
        <f t="shared" si="2"/>
        <v>0</v>
      </c>
      <c r="O95" s="45">
        <f>IF($E$33=5,(($B$25*$B$11)/365)*$C95*$E$33*$F95*Simulation!$C$10,((($B$25*$B$11)/365)*$M95*Simulation!$C$10)+(($B$25*$B$11)/365)*$N95*$F95*Simulation!$C$10)</f>
        <v>0</v>
      </c>
      <c r="P95" s="46">
        <f>IF($E$33=5,(($B$26*$B$12)/365)*$C95*$E$33*$F95*Simulation!$C$10,((($B$26*$B$12)/365)*$M95*Simulation!$C$10)+(($B$26*$B$12)/365)*$N95*$F95*Simulation!$C$10)</f>
        <v>0</v>
      </c>
      <c r="Q95" s="79">
        <f>IF($E$33=5,($E$20/365)*$C95*$E$33*$F95*Simulation!$C$10,(($E$20/365)*$M95*Simulation!$C$10)+($E$20/365)*$N95*$F95*Simulation!$C$10)</f>
        <v>0</v>
      </c>
      <c r="R95" s="79" t="e">
        <f>IF($E$33=5,($E$21*#REF!/365)*$C95*$E$33*$F95*Simulation!$C$10,(($E$21*#REF!/365)*$M95*Simulation!$C$10)+($E$21*#REF!/365)*$N95*$F95*Simulation!$C$10)</f>
        <v>#REF!</v>
      </c>
    </row>
    <row r="96" spans="1:18" s="2" customFormat="1" ht="15" x14ac:dyDescent="0.25">
      <c r="A96" s="37">
        <v>45017</v>
      </c>
      <c r="B96" s="38">
        <v>45017</v>
      </c>
      <c r="C96" s="39">
        <f>MAX(0,MIN(EOMONTH(B96,0),Simulation!$C$12)-MAX(B96,Simulation!$C$11)+1)</f>
        <v>0</v>
      </c>
      <c r="D96" s="197"/>
      <c r="E96" s="195"/>
      <c r="F96" s="39">
        <v>1</v>
      </c>
      <c r="G96" s="40">
        <f t="shared" si="0"/>
        <v>30</v>
      </c>
      <c r="H96" s="199"/>
      <c r="I96" s="41">
        <f>IF(Simulation!$C$12&gt;=$B$133,IF(AND(YEAR(Simulation!$C$11)=YEAR(A96),MONTH(A96)=MONTH(Simulation!$C$11)),1,0),0)</f>
        <v>0</v>
      </c>
      <c r="J96" s="42">
        <f t="shared" si="4"/>
        <v>0</v>
      </c>
      <c r="K96" s="43" t="str">
        <f t="shared" si="1"/>
        <v>ok</v>
      </c>
      <c r="L96" s="43">
        <f>IF(J96=1,IF(J97=0,IF(DAY(Simulation!$C$11)=1,0,DAY(Simulation!$C$11)-1),0),0)</f>
        <v>0</v>
      </c>
      <c r="M96" s="40">
        <f>IF(AND(J95=1,J96=1,J97=0,DAY(Simulation!$C$11)=1),0,IF(J96=1,IF(L96&lt;&gt;0,L96,C96),0))</f>
        <v>0</v>
      </c>
      <c r="N96" s="44">
        <f t="shared" si="2"/>
        <v>0</v>
      </c>
      <c r="O96" s="45">
        <f>IF($E$33=5,(($B$25*$B$11)/365)*$C96*$E$33*$F96*Simulation!$C$10,((($B$25*$B$11)/365)*$M96*Simulation!$C$10)+(($B$25*$B$11)/365)*$N96*$F96*Simulation!$C$10)</f>
        <v>0</v>
      </c>
      <c r="P96" s="46">
        <f>IF($E$33=5,(($B$26*$B$12)/365)*$C96*$E$33*$F96*Simulation!$C$10,((($B$26*$B$12)/365)*$M96*Simulation!$C$10)+(($B$26*$B$12)/365)*$N96*$F96*Simulation!$C$10)</f>
        <v>0</v>
      </c>
      <c r="Q96" s="79">
        <f>IF($E$33=5,($E$20/365)*$C96*$E$33*$F96*Simulation!$C$10,(($E$20/365)*$M96*Simulation!$C$10)+($E$20/365)*$N96*$F96*Simulation!$C$10)</f>
        <v>0</v>
      </c>
      <c r="R96" s="79" t="e">
        <f>IF($E$33=5,($E$21*#REF!/365)*$C96*$E$33*$F96*Simulation!$C$10,(($E$21*#REF!/365)*$M96*Simulation!$C$10)+($E$21*#REF!/365)*$N96*$F96*Simulation!$C$10)</f>
        <v>#REF!</v>
      </c>
    </row>
    <row r="97" spans="1:18" s="2" customFormat="1" ht="15" x14ac:dyDescent="0.25">
      <c r="A97" s="37">
        <v>45047</v>
      </c>
      <c r="B97" s="38">
        <v>45047</v>
      </c>
      <c r="C97" s="39">
        <f>MAX(0,MIN(EOMONTH(B97,0),Simulation!$C$12)-MAX(B97,Simulation!$C$11)+1)</f>
        <v>0</v>
      </c>
      <c r="D97" s="197"/>
      <c r="E97" s="195"/>
      <c r="F97" s="39">
        <v>1</v>
      </c>
      <c r="G97" s="40">
        <f t="shared" ref="G97:G104" si="5">DAY(EOMONTH(A97,0))</f>
        <v>31</v>
      </c>
      <c r="H97" s="199"/>
      <c r="I97" s="41">
        <f>IF(Simulation!$C$12&gt;=$B$133,IF(AND(YEAR(Simulation!$C$11)=YEAR(A97),MONTH(A97)=MONTH(Simulation!$C$11)),1,0),0)</f>
        <v>0</v>
      </c>
      <c r="J97" s="42">
        <f t="shared" si="4"/>
        <v>0</v>
      </c>
      <c r="K97" s="43" t="str">
        <f t="shared" ref="K97:K105" si="6">IF((M97+N97)&lt;&gt;C97,"issue","ok")</f>
        <v>ok</v>
      </c>
      <c r="L97" s="43">
        <f>IF(J97=1,IF(J98=0,IF(DAY(Simulation!$C$11)=1,0,DAY(Simulation!$C$11)-1),0),0)</f>
        <v>0</v>
      </c>
      <c r="M97" s="40">
        <f>IF(AND(J96=1,J97=1,J98=0,DAY(Simulation!$C$11)=1),0,IF(J97=1,IF(L97&lt;&gt;0,L97,C97),0))</f>
        <v>0</v>
      </c>
      <c r="N97" s="44">
        <f t="shared" ref="N97:N104" si="7">MAX(0,C97-M97)</f>
        <v>0</v>
      </c>
      <c r="O97" s="45">
        <f>IF($E$33=5,(($B$25*$B$11)/365)*$C97*$E$33*$F97*Simulation!$C$10,((($B$25*$B$11)/365)*$M97*Simulation!$C$10)+(($B$25*$B$11)/365)*$N97*$F97*Simulation!$C$10)</f>
        <v>0</v>
      </c>
      <c r="P97" s="46">
        <f>IF($E$33=5,(($B$26*$B$12)/365)*$C97*$E$33*$F97*Simulation!$C$10,((($B$26*$B$12)/365)*$M97*Simulation!$C$10)+(($B$26*$B$12)/365)*$N97*$F97*Simulation!$C$10)</f>
        <v>0</v>
      </c>
      <c r="Q97" s="79">
        <f>IF($E$33=5,($E$20/365)*$C97*$E$33*$F97*Simulation!$C$10,(($E$20/365)*$M97*Simulation!$C$10)+($E$20/365)*$N97*$F97*Simulation!$C$10)</f>
        <v>0</v>
      </c>
      <c r="R97" s="79" t="e">
        <f>IF($E$33=5,($E$21*#REF!/365)*$C97*$E$33*$F97*Simulation!$C$10,(($E$21*#REF!/365)*$M97*Simulation!$C$10)+($E$21*#REF!/365)*$N97*$F97*Simulation!$C$10)</f>
        <v>#REF!</v>
      </c>
    </row>
    <row r="98" spans="1:18" s="2" customFormat="1" ht="15" x14ac:dyDescent="0.25">
      <c r="A98" s="37">
        <v>45078</v>
      </c>
      <c r="B98" s="38">
        <v>45078</v>
      </c>
      <c r="C98" s="39">
        <f>MAX(0,MIN(EOMONTH(B98,0),Simulation!$C$12)-MAX(B98,Simulation!$C$11)+1)</f>
        <v>0</v>
      </c>
      <c r="D98" s="197"/>
      <c r="E98" s="195"/>
      <c r="F98" s="39">
        <v>1</v>
      </c>
      <c r="G98" s="40">
        <f t="shared" si="5"/>
        <v>30</v>
      </c>
      <c r="H98" s="199"/>
      <c r="I98" s="41">
        <f>IF(Simulation!$C$12&gt;=$B$133,IF(AND(YEAR(Simulation!$C$11)=YEAR(A98),MONTH(A98)=MONTH(Simulation!$C$11)),1,0),0)</f>
        <v>0</v>
      </c>
      <c r="J98" s="42">
        <f t="shared" si="4"/>
        <v>0</v>
      </c>
      <c r="K98" s="43" t="str">
        <f t="shared" si="6"/>
        <v>ok</v>
      </c>
      <c r="L98" s="43">
        <f>IF(J98=1,IF(J99=0,IF(DAY(Simulation!$C$11)=1,0,DAY(Simulation!$C$11)-1),0),0)</f>
        <v>0</v>
      </c>
      <c r="M98" s="40">
        <f>IF(AND(J97=1,J98=1,J99=0,DAY(Simulation!$C$11)=1),0,IF(J98=1,IF(L98&lt;&gt;0,L98,C98),0))</f>
        <v>0</v>
      </c>
      <c r="N98" s="44">
        <f t="shared" si="7"/>
        <v>0</v>
      </c>
      <c r="O98" s="45">
        <f>IF($E$33=5,(($B$25*$B$11)/365)*$C98*$E$33*$F98*Simulation!$C$10,((($B$25*$B$11)/365)*$M98*Simulation!$C$10)+(($B$25*$B$11)/365)*$N98*$F98*Simulation!$C$10)</f>
        <v>0</v>
      </c>
      <c r="P98" s="46">
        <f>IF($E$33=5,(($B$26*$B$12)/365)*$C98*$E$33*$F98*Simulation!$C$10,((($B$26*$B$12)/365)*$M98*Simulation!$C$10)+(($B$26*$B$12)/365)*$N98*$F98*Simulation!$C$10)</f>
        <v>0</v>
      </c>
      <c r="Q98" s="79">
        <f>IF($E$33=5,($E$20/365)*$C98*$E$33*$F98*Simulation!$C$10,(($E$20/365)*$M98*Simulation!$C$10)+($E$20/365)*$N98*$F98*Simulation!$C$10)</f>
        <v>0</v>
      </c>
      <c r="R98" s="79" t="e">
        <f>IF($E$33=5,($E$21*#REF!/365)*$C98*$E$33*$F98*Simulation!$C$10,(($E$21*#REF!/365)*$M98*Simulation!$C$10)+($E$21*#REF!/365)*$N98*$F98*Simulation!$C$10)</f>
        <v>#REF!</v>
      </c>
    </row>
    <row r="99" spans="1:18" s="2" customFormat="1" ht="15" x14ac:dyDescent="0.25">
      <c r="A99" s="37">
        <v>45108</v>
      </c>
      <c r="B99" s="38">
        <v>45108</v>
      </c>
      <c r="C99" s="39">
        <f>MAX(0,MIN(EOMONTH(B99,0),Simulation!$C$12)-MAX(B99,Simulation!$C$11)+1)</f>
        <v>0</v>
      </c>
      <c r="D99" s="197"/>
      <c r="E99" s="195"/>
      <c r="F99" s="39">
        <v>1</v>
      </c>
      <c r="G99" s="40">
        <f t="shared" si="5"/>
        <v>31</v>
      </c>
      <c r="H99" s="199"/>
      <c r="I99" s="41">
        <f>IF(Simulation!$C$12&gt;=$B$133,IF(AND(YEAR(Simulation!$C$11)=YEAR(A99),MONTH(A99)=MONTH(Simulation!$C$11)),1,0),0)</f>
        <v>0</v>
      </c>
      <c r="J99" s="42">
        <f t="shared" si="4"/>
        <v>0</v>
      </c>
      <c r="K99" s="43" t="str">
        <f t="shared" si="6"/>
        <v>ok</v>
      </c>
      <c r="L99" s="43">
        <f>IF(J99=1,IF(J100=0,IF(DAY(Simulation!$C$11)=1,0,DAY(Simulation!$C$11)-1),0),0)</f>
        <v>0</v>
      </c>
      <c r="M99" s="40">
        <f>IF(AND(J98=1,J99=1,J100=0,DAY(Simulation!$C$11)=1),0,IF(J99=1,IF(L99&lt;&gt;0,L99,C99),0))</f>
        <v>0</v>
      </c>
      <c r="N99" s="44">
        <f t="shared" si="7"/>
        <v>0</v>
      </c>
      <c r="O99" s="45">
        <f>IF($E$33=5,(($B$25*$B$11)/365)*$C99*$E$33*$F99*Simulation!$C$10,((($B$25*$B$11)/365)*$M99*Simulation!$C$10)+(($B$25*$B$11)/365)*$N99*$F99*Simulation!$C$10)</f>
        <v>0</v>
      </c>
      <c r="P99" s="46">
        <f>IF($E$33=5,(($B$26*$B$12)/365)*$C99*$E$33*$F99*Simulation!$C$10,((($B$26*$B$12)/365)*$M99*Simulation!$C$10)+(($B$26*$B$12)/365)*$N99*$F99*Simulation!$C$10)</f>
        <v>0</v>
      </c>
      <c r="Q99" s="79">
        <f>IF($E$33=5,($E$20/365)*$C99*$E$33*$F99*Simulation!$C$10,(($E$20/365)*$M99*Simulation!$C$10)+($E$20/365)*$N99*$F99*Simulation!$C$10)</f>
        <v>0</v>
      </c>
      <c r="R99" s="79" t="e">
        <f>IF($E$33=5,($E$21*#REF!/365)*$C99*$E$33*$F99*Simulation!$C$10,(($E$21*#REF!/365)*$M99*Simulation!$C$10)+($E$21*#REF!/365)*$N99*$F99*Simulation!$C$10)</f>
        <v>#REF!</v>
      </c>
    </row>
    <row r="100" spans="1:18" s="2" customFormat="1" ht="15" x14ac:dyDescent="0.25">
      <c r="A100" s="37">
        <v>45139</v>
      </c>
      <c r="B100" s="38">
        <v>45139</v>
      </c>
      <c r="C100" s="39">
        <f>MAX(0,MIN(EOMONTH(B100,0),Simulation!$C$12)-MAX(B100,Simulation!$C$11)+1)</f>
        <v>0</v>
      </c>
      <c r="D100" s="197"/>
      <c r="E100" s="195"/>
      <c r="F100" s="39">
        <v>1</v>
      </c>
      <c r="G100" s="40">
        <f t="shared" si="5"/>
        <v>31</v>
      </c>
      <c r="H100" s="199"/>
      <c r="I100" s="41">
        <f>IF(Simulation!$C$12&gt;=$B$133,IF(AND(YEAR(Simulation!$C$11)=YEAR(A100),MONTH(A100)=MONTH(Simulation!$C$11)),1,0),0)</f>
        <v>0</v>
      </c>
      <c r="J100" s="42">
        <f t="shared" si="4"/>
        <v>0</v>
      </c>
      <c r="K100" s="43" t="str">
        <f t="shared" si="6"/>
        <v>ok</v>
      </c>
      <c r="L100" s="43">
        <f>IF(J100=1,IF(J101=0,IF(DAY(Simulation!$C$11)=1,0,DAY(Simulation!$C$11)-1),0),0)</f>
        <v>0</v>
      </c>
      <c r="M100" s="40">
        <f>IF(AND(J99=1,J100=1,J101=0,DAY(Simulation!$C$11)=1),0,IF(J100=1,IF(L100&lt;&gt;0,L100,C100),0))</f>
        <v>0</v>
      </c>
      <c r="N100" s="44">
        <f t="shared" si="7"/>
        <v>0</v>
      </c>
      <c r="O100" s="45">
        <f>IF($E$33=5,(($B$25*$B$11)/365)*$C100*$E$33*$F100*Simulation!$C$10,((($B$25*$B$11)/365)*$M100*Simulation!$C$10)+(($B$25*$B$11)/365)*$N100*$F100*Simulation!$C$10)</f>
        <v>0</v>
      </c>
      <c r="P100" s="46">
        <f>IF($E$33=5,(($B$26*$B$12)/365)*$C100*$E$33*$F100*Simulation!$C$10,((($B$26*$B$12)/365)*$M100*Simulation!$C$10)+(($B$26*$B$12)/365)*$N100*$F100*Simulation!$C$10)</f>
        <v>0</v>
      </c>
      <c r="Q100" s="79">
        <f>IF($E$33=5,($E$20/365)*$C100*$E$33*$F100*Simulation!$C$10,(($E$20/365)*$M100*Simulation!$C$10)+($E$20/365)*$N100*$F100*Simulation!$C$10)</f>
        <v>0</v>
      </c>
      <c r="R100" s="79" t="e">
        <f>IF($E$33=5,($E$21*#REF!/365)*$C100*$E$33*$F100*Simulation!$C$10,(($E$21*#REF!/365)*$M100*Simulation!$C$10)+($E$21*#REF!/365)*$N100*$F100*Simulation!$C$10)</f>
        <v>#REF!</v>
      </c>
    </row>
    <row r="101" spans="1:18" s="2" customFormat="1" ht="15" x14ac:dyDescent="0.25">
      <c r="A101" s="37">
        <v>45170</v>
      </c>
      <c r="B101" s="38">
        <v>45170</v>
      </c>
      <c r="C101" s="39">
        <f>MAX(0,MIN(EOMONTH(B101,0),Simulation!$C$12)-MAX(B101,Simulation!$C$11)+1)</f>
        <v>0</v>
      </c>
      <c r="D101" s="197"/>
      <c r="E101" s="195"/>
      <c r="F101" s="39">
        <v>1</v>
      </c>
      <c r="G101" s="40">
        <f t="shared" si="5"/>
        <v>30</v>
      </c>
      <c r="H101" s="199"/>
      <c r="I101" s="41">
        <f>IF(Simulation!$C$12&gt;=$B$133,IF(AND(YEAR(Simulation!$C$11)=YEAR(A101),MONTH(A101)=MONTH(Simulation!$C$11)),1,0),0)</f>
        <v>0</v>
      </c>
      <c r="J101" s="42">
        <f t="shared" si="4"/>
        <v>0</v>
      </c>
      <c r="K101" s="43" t="str">
        <f t="shared" si="6"/>
        <v>ok</v>
      </c>
      <c r="L101" s="43">
        <f>IF(J101=1,IF(J102=0,IF(DAY(Simulation!$C$11)=1,0,DAY(Simulation!$C$11)-1),0),0)</f>
        <v>0</v>
      </c>
      <c r="M101" s="40">
        <f>IF(AND(J100=1,J101=1,J102=0,DAY(Simulation!$C$11)=1),0,IF(J101=1,IF(L101&lt;&gt;0,L101,C101),0))</f>
        <v>0</v>
      </c>
      <c r="N101" s="44">
        <f t="shared" si="7"/>
        <v>0</v>
      </c>
      <c r="O101" s="45">
        <f>IF($E$33=5,(($B$25*$B$11)/365)*$C101*$E$33*$F101*Simulation!$C$10,((($B$25*$B$11)/365)*$M101*Simulation!$C$10)+(($B$25*$B$11)/365)*$N101*$F101*Simulation!$C$10)</f>
        <v>0</v>
      </c>
      <c r="P101" s="46">
        <f>IF($E$33=5,(($B$26*$B$12)/365)*$C101*$E$33*$F101*Simulation!$C$10,((($B$26*$B$12)/365)*$M101*Simulation!$C$10)+(($B$26*$B$12)/365)*$N101*$F101*Simulation!$C$10)</f>
        <v>0</v>
      </c>
      <c r="Q101" s="79">
        <f>IF($E$33=5,($E$20/365)*$C101*$E$33*$F101*Simulation!$C$10,(($E$20/365)*$M101*Simulation!$C$10)+($E$20/365)*$N101*$F101*Simulation!$C$10)</f>
        <v>0</v>
      </c>
      <c r="R101" s="79" t="e">
        <f>IF($E$33=5,($E$21*#REF!/365)*$C101*$E$33*$F101*Simulation!$C$10,(($E$21*#REF!/365)*$M101*Simulation!$C$10)+($E$21*#REF!/365)*$N101*$F101*Simulation!$C$10)</f>
        <v>#REF!</v>
      </c>
    </row>
    <row r="102" spans="1:18" s="2" customFormat="1" ht="15" x14ac:dyDescent="0.25">
      <c r="A102" s="37">
        <v>45200</v>
      </c>
      <c r="B102" s="38">
        <v>45200</v>
      </c>
      <c r="C102" s="39">
        <f>MAX(0,MIN(EOMONTH(B102,0),Simulation!$C$12)-MAX(B102,Simulation!$C$11)+1)</f>
        <v>0</v>
      </c>
      <c r="D102" s="197"/>
      <c r="E102" s="195"/>
      <c r="F102" s="39">
        <v>1</v>
      </c>
      <c r="G102" s="40">
        <f t="shared" si="5"/>
        <v>31</v>
      </c>
      <c r="H102" s="199"/>
      <c r="I102" s="41">
        <f>IF(Simulation!$C$12&gt;=$B$133,IF(AND(YEAR(Simulation!$C$11)=YEAR(A102),MONTH(A102)=MONTH(Simulation!$C$11)),1,0),0)</f>
        <v>0</v>
      </c>
      <c r="J102" s="42">
        <f t="shared" si="4"/>
        <v>0</v>
      </c>
      <c r="K102" s="43" t="str">
        <f t="shared" si="6"/>
        <v>ok</v>
      </c>
      <c r="L102" s="43">
        <f>IF(J102=1,IF(J103=0,IF(DAY(Simulation!$C$11)=1,0,DAY(Simulation!$C$11)-1),0),0)</f>
        <v>0</v>
      </c>
      <c r="M102" s="40">
        <f>IF(AND(J101=1,J102=1,J103=0,DAY(Simulation!$C$11)=1),0,IF(J102=1,IF(L102&lt;&gt;0,L102,C102),0))</f>
        <v>0</v>
      </c>
      <c r="N102" s="44">
        <f t="shared" si="7"/>
        <v>0</v>
      </c>
      <c r="O102" s="45">
        <f>IF($E$33=5,(($B$25*$B$11)/365)*$C102*$E$33*$F102*Simulation!$C$10,((($B$25*$B$11)/365)*$M102*Simulation!$C$10)+(($B$25*$B$11)/365)*$N102*$F102*Simulation!$C$10)</f>
        <v>0</v>
      </c>
      <c r="P102" s="46">
        <f>IF($E$33=5,(($B$26*$B$12)/365)*$C102*$E$33*$F102*Simulation!$C$10,((($B$26*$B$12)/365)*$M102*Simulation!$C$10)+(($B$26*$B$12)/365)*$N102*$F102*Simulation!$C$10)</f>
        <v>0</v>
      </c>
      <c r="Q102" s="79">
        <f>IF($E$33=5,($E$20/365)*$C102*$E$33*$F102*Simulation!$C$10,(($E$20/365)*$M102*Simulation!$C$10)+($E$20/365)*$N102*$F102*Simulation!$C$10)</f>
        <v>0</v>
      </c>
      <c r="R102" s="79" t="e">
        <f>IF($E$33=5,($E$21*#REF!/365)*$C102*$E$33*$F102*Simulation!$C$10,(($E$21*#REF!/365)*$M102*Simulation!$C$10)+($E$21*#REF!/365)*$N102*$F102*Simulation!$C$10)</f>
        <v>#REF!</v>
      </c>
    </row>
    <row r="103" spans="1:18" s="2" customFormat="1" ht="15" x14ac:dyDescent="0.25">
      <c r="A103" s="37">
        <v>45231</v>
      </c>
      <c r="B103" s="38">
        <v>45231</v>
      </c>
      <c r="C103" s="39">
        <f>MAX(0,MIN(EOMONTH(B103,0),Simulation!$C$12)-MAX(B103,Simulation!$C$11)+1)</f>
        <v>0</v>
      </c>
      <c r="D103" s="197"/>
      <c r="E103" s="195"/>
      <c r="F103" s="39">
        <v>1</v>
      </c>
      <c r="G103" s="40">
        <f t="shared" si="5"/>
        <v>30</v>
      </c>
      <c r="H103" s="199"/>
      <c r="I103" s="41">
        <f>IF(Simulation!$C$12&gt;=$B$133,IF(AND(YEAR(Simulation!$C$11)=YEAR(A103),MONTH(A103)=MONTH(Simulation!$C$11)),1,0),0)</f>
        <v>0</v>
      </c>
      <c r="J103" s="42">
        <f t="shared" si="4"/>
        <v>0</v>
      </c>
      <c r="K103" s="43" t="str">
        <f t="shared" si="6"/>
        <v>ok</v>
      </c>
      <c r="L103" s="43">
        <f>IF(J103=1,IF(J104=0,IF(DAY(Simulation!$C$11)=1,0,DAY(Simulation!$C$11)-1),0),0)</f>
        <v>0</v>
      </c>
      <c r="M103" s="40">
        <f>IF(AND(J102=1,J103=1,J104=0,DAY(Simulation!$C$11)=1),0,IF(J103=1,IF(L103&lt;&gt;0,L103,C103),0))</f>
        <v>0</v>
      </c>
      <c r="N103" s="44">
        <f t="shared" si="7"/>
        <v>0</v>
      </c>
      <c r="O103" s="45">
        <f>IF($E$33=5,(($B$25*$B$11)/365)*$C103*$E$33*$F103*Simulation!$C$10,((($B$25*$B$11)/365)*$M103*Simulation!$C$10)+(($B$25*$B$11)/365)*$N103*$F103*Simulation!$C$10)</f>
        <v>0</v>
      </c>
      <c r="P103" s="46">
        <f>IF($E$33=5,(($B$26*$B$12)/365)*$C103*$E$33*$F103*Simulation!$C$10,((($B$26*$B$12)/365)*$M103*Simulation!$C$10)+(($B$26*$B$12)/365)*$N103*$F103*Simulation!$C$10)</f>
        <v>0</v>
      </c>
      <c r="Q103" s="79">
        <f>IF($E$33=5,($E$20/365)*$C103*$E$33*$F103*Simulation!$C$10,(($E$20/365)*$M103*Simulation!$C$10)+($E$20/365)*$N103*$F103*Simulation!$C$10)</f>
        <v>0</v>
      </c>
      <c r="R103" s="79" t="e">
        <f>IF($E$33=5,($E$21*#REF!/365)*$C103*$E$33*$F103*Simulation!$C$10,(($E$21*#REF!/365)*$M103*Simulation!$C$10)+($E$21*#REF!/365)*$N103*$F103*Simulation!$C$10)</f>
        <v>#REF!</v>
      </c>
    </row>
    <row r="104" spans="1:18" s="2" customFormat="1" ht="15" x14ac:dyDescent="0.25">
      <c r="A104" s="37">
        <v>45261</v>
      </c>
      <c r="B104" s="38">
        <v>45261</v>
      </c>
      <c r="C104" s="39">
        <f>MAX(0,MIN(EOMONTH(B104,0),Simulation!$C$12)-MAX(B104,Simulation!$C$11)+1)</f>
        <v>0</v>
      </c>
      <c r="D104" s="197"/>
      <c r="E104" s="195"/>
      <c r="F104" s="39">
        <v>1</v>
      </c>
      <c r="G104" s="40">
        <f t="shared" si="5"/>
        <v>31</v>
      </c>
      <c r="H104" s="199"/>
      <c r="I104" s="41">
        <f>IF(Simulation!$C$12&gt;=$B$133,IF(AND(YEAR(Simulation!$C$11)=YEAR(A104),MONTH(A104)=MONTH(Simulation!$C$11)),1,0),0)</f>
        <v>0</v>
      </c>
      <c r="J104" s="42">
        <f t="shared" si="4"/>
        <v>0</v>
      </c>
      <c r="K104" s="43" t="str">
        <f t="shared" si="6"/>
        <v>ok</v>
      </c>
      <c r="L104" s="43">
        <f>IF(J104=1,IF(J105=0,IF(DAY(Simulation!$C$11)=1,0,DAY(Simulation!$C$11)-1),0),0)</f>
        <v>0</v>
      </c>
      <c r="M104" s="40">
        <f>IF(AND(J103=1,J104=1,J105=0,DAY(Simulation!$C$11)=1),0,IF(J104=1,IF(L104&lt;&gt;0,L104,C104),0))</f>
        <v>0</v>
      </c>
      <c r="N104" s="44">
        <f t="shared" si="7"/>
        <v>0</v>
      </c>
      <c r="O104" s="45">
        <f>IF($E$33=5,(($B$25*$B$11)/365)*$C104*$E$33*$F104*Simulation!$C$10,((($B$25*$B$11)/365)*$M104*Simulation!$C$10)+(($B$25*$B$11)/365)*$N104*$F104*Simulation!$C$10)</f>
        <v>0</v>
      </c>
      <c r="P104" s="46">
        <f>IF($E$33=5,(($B$26*$B$12)/365)*$C104*$E$33*$F104*Simulation!$C$10,((($B$26*$B$12)/365)*$M104*Simulation!$C$10)+(($B$26*$B$12)/365)*$N104*$F104*Simulation!$C$10)</f>
        <v>0</v>
      </c>
      <c r="Q104" s="79">
        <f>IF($E$33=5,($E$20/365)*$C104*$E$33*$F104*Simulation!$C$10,(($E$20/365)*$M104*Simulation!$C$10)+($E$20/365)*$N104*$F104*Simulation!$C$10)</f>
        <v>0</v>
      </c>
      <c r="R104" s="79" t="e">
        <f>IF($E$33=5,($E$21*#REF!/365)*$C104*$E$33*$F104*Simulation!$C$10,(($E$21*#REF!/365)*$M104*Simulation!$C$10)+($E$21*#REF!/365)*$N104*$F104*Simulation!$C$10)</f>
        <v>#REF!</v>
      </c>
    </row>
    <row r="105" spans="1:18" s="2" customFormat="1" ht="15" x14ac:dyDescent="0.25">
      <c r="A105" s="37">
        <v>45292</v>
      </c>
      <c r="B105" s="38">
        <v>45292</v>
      </c>
      <c r="C105" s="39">
        <f>MAX(0,MIN(EOMONTH(B105,0),Simulation!$C$12)-MAX(B105,Simulation!$C$11)+1)</f>
        <v>0</v>
      </c>
      <c r="D105" s="197"/>
      <c r="E105" s="195"/>
      <c r="F105" s="39">
        <v>1</v>
      </c>
      <c r="G105" s="40">
        <f t="shared" ref="G105:G128" si="8">DAY(EOMONTH(A105,0))</f>
        <v>31</v>
      </c>
      <c r="H105" s="199"/>
      <c r="I105" s="41">
        <f>IF(Simulation!$C$12&gt;=$B$133,IF(AND(YEAR(Simulation!$C$11)=YEAR(A105),MONTH(A105)=MONTH(Simulation!$C$11)),1,0),0)</f>
        <v>0</v>
      </c>
      <c r="J105" s="42">
        <f t="shared" si="4"/>
        <v>0</v>
      </c>
      <c r="K105" s="43" t="str">
        <f t="shared" si="6"/>
        <v>ok</v>
      </c>
      <c r="L105" s="43">
        <f>IF(J105=1,IF(J106=0,IF(DAY(Simulation!$C$11)=1,0,DAY(Simulation!$C$11)-1),0),0)</f>
        <v>0</v>
      </c>
      <c r="M105" s="40">
        <f>IF(AND(J104=1,J105=1,J106=0,DAY(Simulation!$C$11)=1),0,IF(J105=1,IF(L105&lt;&gt;0,L105,C105),0))</f>
        <v>0</v>
      </c>
      <c r="N105" s="44">
        <f t="shared" ref="N105" si="9">MAX(0,C105-M105)</f>
        <v>0</v>
      </c>
      <c r="O105" s="45">
        <f>IF($E$33=5,(($B$25*$B$11)/365)*$C105*$E$33*$F105*Simulation!$C$10,((($B$25*$B$11)/365)*$M105*Simulation!$C$10)+(($B$25*$B$11)/365)*$N105*$F105*Simulation!$C$10)</f>
        <v>0</v>
      </c>
      <c r="P105" s="46">
        <f>IF($E$33=5,(($B$26*$B$12)/365)*$C105*$E$33*$F105*Simulation!$C$10,((($B$26*$B$12)/365)*$M105*Simulation!$C$10)+(($B$26*$B$12)/365)*$N105*$F105*Simulation!$C$10)</f>
        <v>0</v>
      </c>
      <c r="Q105" s="79">
        <f>IF($E$33=5,($E$20/365)*$C105*$E$33*$F105*Simulation!$C$10,(($E$20/365)*$M105*Simulation!$C$10)+($E$20/365)*$N105*$F105*Simulation!$C$10)</f>
        <v>0</v>
      </c>
      <c r="R105" s="79" t="e">
        <f>IF($E$33=5,($E$21*#REF!/365)*$C105*$E$33*$F105*Simulation!$C$10,(($E$21*#REF!/365)*$M105*Simulation!$C$10)+($E$21*#REF!/365)*$N105*$F105*Simulation!$C$10)</f>
        <v>#REF!</v>
      </c>
    </row>
    <row r="106" spans="1:18" s="2" customFormat="1" ht="15" x14ac:dyDescent="0.25">
      <c r="A106" s="37">
        <v>45323</v>
      </c>
      <c r="B106" s="38">
        <v>45323</v>
      </c>
      <c r="C106" s="39">
        <f>MAX(0,MIN(EOMONTH(B106,0),Simulation!$C$12)-MAX(B106,Simulation!$C$11)+1)</f>
        <v>0</v>
      </c>
      <c r="D106" s="197"/>
      <c r="E106" s="195"/>
      <c r="F106" s="39">
        <v>1</v>
      </c>
      <c r="G106" s="40">
        <f t="shared" si="8"/>
        <v>29</v>
      </c>
      <c r="H106" s="199"/>
      <c r="I106" s="41">
        <f>IF(Simulation!$C$12&gt;=$B$133,IF(AND(YEAR(Simulation!$C$11)=YEAR(A106),MONTH(A106)=MONTH(Simulation!$C$11)),1,0),0)</f>
        <v>0</v>
      </c>
      <c r="J106" s="42">
        <f t="shared" si="4"/>
        <v>0</v>
      </c>
      <c r="K106" s="43" t="str">
        <f t="shared" ref="K106:K116" si="10">IF((M106+N106)&lt;&gt;C106,"issue","ok")</f>
        <v>ok</v>
      </c>
      <c r="L106" s="43">
        <f>IF(J106=1,IF(J107=0,IF(DAY(Simulation!$C$11)=1,0,DAY(Simulation!$C$11)-1),0),0)</f>
        <v>0</v>
      </c>
      <c r="M106" s="40">
        <f>IF(AND(J105=1,J106=1,J107=0,DAY(Simulation!$C$11)=1),0,IF(J106=1,IF(L106&lt;&gt;0,L106,C106),0))</f>
        <v>0</v>
      </c>
      <c r="N106" s="44">
        <f t="shared" ref="N106:N116" si="11">MAX(0,C106-M106)</f>
        <v>0</v>
      </c>
      <c r="O106" s="45">
        <f>IF($E$33=5,(($B$25*$B$11)/365)*$C106*$E$33*$F106*Simulation!$C$10,((($B$25*$B$11)/365)*$M106*Simulation!$C$10)+(($B$25*$B$11)/365)*$N106*$F106*Simulation!$C$10)</f>
        <v>0</v>
      </c>
      <c r="P106" s="46">
        <f>IF($E$33=5,(($B$26*$B$12)/365)*$C106*$E$33*$F106*Simulation!$C$10,((($B$26*$B$12)/365)*$M106*Simulation!$C$10)+(($B$26*$B$12)/365)*$N106*$F106*Simulation!$C$10)</f>
        <v>0</v>
      </c>
      <c r="Q106" s="79">
        <f>IF($E$33=5,($E$20/365)*$C106*$E$33*$F106*Simulation!$C$10,(($E$20/365)*$M106*Simulation!$C$10)+($E$20/365)*$N106*$F106*Simulation!$C$10)</f>
        <v>0</v>
      </c>
      <c r="R106" s="79" t="e">
        <f>IF($E$33=5,($E$21*#REF!/365)*$C106*$E$33*$F106*Simulation!$C$10,(($E$21*#REF!/365)*$M106*Simulation!$C$10)+($E$21*#REF!/365)*$N106*$F106*Simulation!$C$10)</f>
        <v>#REF!</v>
      </c>
    </row>
    <row r="107" spans="1:18" s="2" customFormat="1" ht="15" x14ac:dyDescent="0.25">
      <c r="A107" s="37">
        <v>45352</v>
      </c>
      <c r="B107" s="38">
        <v>45352</v>
      </c>
      <c r="C107" s="39">
        <f>MAX(0,MIN(EOMONTH(B107,0),Simulation!$C$12)-MAX(B107,Simulation!$C$11)+1)</f>
        <v>0</v>
      </c>
      <c r="D107" s="197"/>
      <c r="E107" s="195"/>
      <c r="F107" s="39">
        <v>1</v>
      </c>
      <c r="G107" s="40">
        <f t="shared" si="8"/>
        <v>31</v>
      </c>
      <c r="H107" s="199"/>
      <c r="I107" s="41">
        <f>IF(Simulation!$C$12&gt;=$B$133,IF(AND(YEAR(Simulation!$C$11)=YEAR(A107),MONTH(A107)=MONTH(Simulation!$C$11)),1,0),0)</f>
        <v>0</v>
      </c>
      <c r="J107" s="42">
        <f t="shared" si="4"/>
        <v>0</v>
      </c>
      <c r="K107" s="43" t="str">
        <f t="shared" si="10"/>
        <v>ok</v>
      </c>
      <c r="L107" s="43">
        <f>IF(J107=1,IF(J108=0,IF(DAY(Simulation!$C$11)=1,0,DAY(Simulation!$C$11)-1),0),0)</f>
        <v>0</v>
      </c>
      <c r="M107" s="40">
        <f>IF(AND(J106=1,J107=1,J108=0,DAY(Simulation!$C$11)=1),0,IF(J107=1,IF(L107&lt;&gt;0,L107,C107),0))</f>
        <v>0</v>
      </c>
      <c r="N107" s="44">
        <f t="shared" si="11"/>
        <v>0</v>
      </c>
      <c r="O107" s="45">
        <f>IF($E$33=5,(($B$25*$B$11)/365)*$C107*$E$33*$F107*Simulation!$C$10,((($B$25*$B$11)/365)*$M107*Simulation!$C$10)+(($B$25*$B$11)/365)*$N107*$F107*Simulation!$C$10)</f>
        <v>0</v>
      </c>
      <c r="P107" s="46">
        <f>IF($E$33=5,(($B$26*$B$12)/365)*$C107*$E$33*$F107*Simulation!$C$10,((($B$26*$B$12)/365)*$M107*Simulation!$C$10)+(($B$26*$B$12)/365)*$N107*$F107*Simulation!$C$10)</f>
        <v>0</v>
      </c>
      <c r="Q107" s="79">
        <f>IF($E$33=5,($E$20/365)*$C107*$E$33*$F107*Simulation!$C$10,(($E$20/365)*$M107*Simulation!$C$10)+($E$20/365)*$N107*$F107*Simulation!$C$10)</f>
        <v>0</v>
      </c>
      <c r="R107" s="79" t="e">
        <f>IF($E$33=5,($E$21*#REF!/365)*$C107*$E$33*$F107*Simulation!$C$10,(($E$21*#REF!/365)*$M107*Simulation!$C$10)+($E$21*#REF!/365)*$N107*$F107*Simulation!$C$10)</f>
        <v>#REF!</v>
      </c>
    </row>
    <row r="108" spans="1:18" s="2" customFormat="1" ht="15" x14ac:dyDescent="0.25">
      <c r="A108" s="37">
        <v>45383</v>
      </c>
      <c r="B108" s="38">
        <v>45383</v>
      </c>
      <c r="C108" s="39">
        <f>MAX(0,MIN(EOMONTH(B108,0),Simulation!$C$12)-MAX(B108,Simulation!$C$11)+1)</f>
        <v>0</v>
      </c>
      <c r="D108" s="197"/>
      <c r="E108" s="195"/>
      <c r="F108" s="39">
        <v>1</v>
      </c>
      <c r="G108" s="40">
        <f t="shared" si="8"/>
        <v>30</v>
      </c>
      <c r="H108" s="199"/>
      <c r="I108" s="41">
        <f>IF(Simulation!$C$12&gt;=$B$133,IF(AND(YEAR(Simulation!$C$11)=YEAR(A108),MONTH(A108)=MONTH(Simulation!$C$11)),1,0),0)</f>
        <v>0</v>
      </c>
      <c r="J108" s="42">
        <f t="shared" si="4"/>
        <v>0</v>
      </c>
      <c r="K108" s="43" t="str">
        <f t="shared" si="10"/>
        <v>ok</v>
      </c>
      <c r="L108" s="43">
        <f>IF(J108=1,IF(J109=0,IF(DAY(Simulation!$C$11)=1,0,DAY(Simulation!$C$11)-1),0),0)</f>
        <v>0</v>
      </c>
      <c r="M108" s="40">
        <f>IF(AND(J107=1,J108=1,J109=0,DAY(Simulation!$C$11)=1),0,IF(J108=1,IF(L108&lt;&gt;0,L108,C108),0))</f>
        <v>0</v>
      </c>
      <c r="N108" s="44">
        <f t="shared" si="11"/>
        <v>0</v>
      </c>
      <c r="O108" s="45">
        <f>IF($E$33=5,(($B$25*$B$11)/365)*$C108*$E$33*$F108*Simulation!$C$10,((($B$25*$B$11)/365)*$M108*Simulation!$C$10)+(($B$25*$B$11)/365)*$N108*$F108*Simulation!$C$10)</f>
        <v>0</v>
      </c>
      <c r="P108" s="46">
        <f>IF($E$33=5,(($B$26*$B$12)/365)*$C108*$E$33*$F108*Simulation!$C$10,((($B$26*$B$12)/365)*$M108*Simulation!$C$10)+(($B$26*$B$12)/365)*$N108*$F108*Simulation!$C$10)</f>
        <v>0</v>
      </c>
      <c r="Q108" s="79">
        <f>IF($E$33=5,($E$20/365)*$C108*$E$33*$F108*Simulation!$C$10,(($E$20/365)*$M108*Simulation!$C$10)+($E$20/365)*$N108*$F108*Simulation!$C$10)</f>
        <v>0</v>
      </c>
      <c r="R108" s="79" t="e">
        <f>IF($E$33=5,($E$21*#REF!/365)*$C108*$E$33*$F108*Simulation!$C$10,(($E$21*#REF!/365)*$M108*Simulation!$C$10)+($E$21*#REF!/365)*$N108*$F108*Simulation!$C$10)</f>
        <v>#REF!</v>
      </c>
    </row>
    <row r="109" spans="1:18" s="2" customFormat="1" ht="15" x14ac:dyDescent="0.25">
      <c r="A109" s="37">
        <v>45413</v>
      </c>
      <c r="B109" s="38">
        <v>45413</v>
      </c>
      <c r="C109" s="39">
        <f>MAX(0,MIN(EOMONTH(B109,0),Simulation!$C$12)-MAX(B109,Simulation!$C$11)+1)</f>
        <v>0</v>
      </c>
      <c r="D109" s="197"/>
      <c r="E109" s="195"/>
      <c r="F109" s="39">
        <v>1</v>
      </c>
      <c r="G109" s="40">
        <f t="shared" si="8"/>
        <v>31</v>
      </c>
      <c r="H109" s="199"/>
      <c r="I109" s="41">
        <f>IF(Simulation!$C$12&gt;=$B$133,IF(AND(YEAR(Simulation!$C$11)=YEAR(A109),MONTH(A109)=MONTH(Simulation!$C$11)),1,0),0)</f>
        <v>0</v>
      </c>
      <c r="J109" s="42">
        <f t="shared" si="4"/>
        <v>0</v>
      </c>
      <c r="K109" s="43" t="str">
        <f t="shared" si="10"/>
        <v>ok</v>
      </c>
      <c r="L109" s="43">
        <f>IF(J109=1,IF(J110=0,IF(DAY(Simulation!$C$11)=1,0,DAY(Simulation!$C$11)-1),0),0)</f>
        <v>0</v>
      </c>
      <c r="M109" s="40">
        <f>IF(AND(J108=1,J109=1,J110=0,DAY(Simulation!$C$11)=1),0,IF(J109=1,IF(L109&lt;&gt;0,L109,C109),0))</f>
        <v>0</v>
      </c>
      <c r="N109" s="44">
        <f t="shared" si="11"/>
        <v>0</v>
      </c>
      <c r="O109" s="45">
        <f>IF($E$33=5,(($B$25*$B$11)/365)*$C109*$E$33*$F109*Simulation!$C$10,((($B$25*$B$11)/365)*$M109*Simulation!$C$10)+(($B$25*$B$11)/365)*$N109*$F109*Simulation!$C$10)</f>
        <v>0</v>
      </c>
      <c r="P109" s="46">
        <f>IF($E$33=5,(($B$26*$B$12)/365)*$C109*$E$33*$F109*Simulation!$C$10,((($B$26*$B$12)/365)*$M109*Simulation!$C$10)+(($B$26*$B$12)/365)*$N109*$F109*Simulation!$C$10)</f>
        <v>0</v>
      </c>
      <c r="Q109" s="79">
        <f>IF($E$33=5,($E$20/365)*$C109*$E$33*$F109*Simulation!$C$10,(($E$20/365)*$M109*Simulation!$C$10)+($E$20/365)*$N109*$F109*Simulation!$C$10)</f>
        <v>0</v>
      </c>
      <c r="R109" s="79" t="e">
        <f>IF($E$33=5,($E$21*#REF!/365)*$C109*$E$33*$F109*Simulation!$C$10,(($E$21*#REF!/365)*$M109*Simulation!$C$10)+($E$21*#REF!/365)*$N109*$F109*Simulation!$C$10)</f>
        <v>#REF!</v>
      </c>
    </row>
    <row r="110" spans="1:18" s="2" customFormat="1" ht="15" x14ac:dyDescent="0.25">
      <c r="A110" s="37">
        <v>45444</v>
      </c>
      <c r="B110" s="38">
        <v>45444</v>
      </c>
      <c r="C110" s="39">
        <f>MAX(0,MIN(EOMONTH(B110,0),Simulation!$C$12)-MAX(B110,Simulation!$C$11)+1)</f>
        <v>0</v>
      </c>
      <c r="D110" s="197"/>
      <c r="E110" s="195"/>
      <c r="F110" s="39">
        <v>1</v>
      </c>
      <c r="G110" s="40">
        <f t="shared" si="8"/>
        <v>30</v>
      </c>
      <c r="H110" s="199"/>
      <c r="I110" s="41">
        <f>IF(Simulation!$C$12&gt;=$B$133,IF(AND(YEAR(Simulation!$C$11)=YEAR(A110),MONTH(A110)=MONTH(Simulation!$C$11)),1,0),0)</f>
        <v>0</v>
      </c>
      <c r="J110" s="42">
        <f t="shared" si="4"/>
        <v>0</v>
      </c>
      <c r="K110" s="43" t="str">
        <f t="shared" si="10"/>
        <v>ok</v>
      </c>
      <c r="L110" s="43">
        <f>IF(J110=1,IF(J111=0,IF(DAY(Simulation!$C$11)=1,0,DAY(Simulation!$C$11)-1),0),0)</f>
        <v>0</v>
      </c>
      <c r="M110" s="40">
        <f>IF(AND(J109=1,J110=1,J111=0,DAY(Simulation!$C$11)=1),0,IF(J110=1,IF(L110&lt;&gt;0,L110,C110),0))</f>
        <v>0</v>
      </c>
      <c r="N110" s="44">
        <f t="shared" si="11"/>
        <v>0</v>
      </c>
      <c r="O110" s="45">
        <f>IF($E$33=5,(($B$25*$B$11)/365)*$C110*$E$33*$F110*Simulation!$C$10,((($B$25*$B$11)/365)*$M110*Simulation!$C$10)+(($B$25*$B$11)/365)*$N110*$F110*Simulation!$C$10)</f>
        <v>0</v>
      </c>
      <c r="P110" s="46">
        <f>IF($E$33=5,(($B$26*$B$12)/365)*$C110*$E$33*$F110*Simulation!$C$10,((($B$26*$B$12)/365)*$M110*Simulation!$C$10)+(($B$26*$B$12)/365)*$N110*$F110*Simulation!$C$10)</f>
        <v>0</v>
      </c>
      <c r="Q110" s="79">
        <f>IF($E$33=5,($E$20/365)*$C110*$E$33*$F110*Simulation!$C$10,(($E$20/365)*$M110*Simulation!$C$10)+($E$20/365)*$N110*$F110*Simulation!$C$10)</f>
        <v>0</v>
      </c>
      <c r="R110" s="79" t="e">
        <f>IF($E$33=5,($E$21*#REF!/365)*$C110*$E$33*$F110*Simulation!$C$10,(($E$21*#REF!/365)*$M110*Simulation!$C$10)+($E$21*#REF!/365)*$N110*$F110*Simulation!$C$10)</f>
        <v>#REF!</v>
      </c>
    </row>
    <row r="111" spans="1:18" s="2" customFormat="1" ht="15" x14ac:dyDescent="0.25">
      <c r="A111" s="37">
        <v>45474</v>
      </c>
      <c r="B111" s="38">
        <v>45474</v>
      </c>
      <c r="C111" s="39">
        <f>MAX(0,MIN(EOMONTH(B111,0),Simulation!$C$12)-MAX(B111,Simulation!$C$11)+1)</f>
        <v>0</v>
      </c>
      <c r="D111" s="197"/>
      <c r="E111" s="195"/>
      <c r="F111" s="39">
        <v>1</v>
      </c>
      <c r="G111" s="40">
        <f t="shared" si="8"/>
        <v>31</v>
      </c>
      <c r="H111" s="199"/>
      <c r="I111" s="41">
        <f>IF(Simulation!$C$12&gt;=$B$133,IF(AND(YEAR(Simulation!$C$11)=YEAR(A111),MONTH(A111)=MONTH(Simulation!$C$11)),1,0),0)</f>
        <v>0</v>
      </c>
      <c r="J111" s="42">
        <f t="shared" si="4"/>
        <v>0</v>
      </c>
      <c r="K111" s="43" t="str">
        <f t="shared" si="10"/>
        <v>ok</v>
      </c>
      <c r="L111" s="43">
        <f>IF(J111=1,IF(J112=0,IF(DAY(Simulation!$C$11)=1,0,DAY(Simulation!$C$11)-1),0),0)</f>
        <v>0</v>
      </c>
      <c r="M111" s="40">
        <f>IF(AND(J110=1,J111=1,J112=0,DAY(Simulation!$C$11)=1),0,IF(J111=1,IF(L111&lt;&gt;0,L111,C111),0))</f>
        <v>0</v>
      </c>
      <c r="N111" s="44">
        <f t="shared" si="11"/>
        <v>0</v>
      </c>
      <c r="O111" s="45">
        <f>IF($E$33=5,(($B$25*$B$11)/365)*$C111*$E$33*$F111*Simulation!$C$10,((($B$25*$B$11)/365)*$M111*Simulation!$C$10)+(($B$25*$B$11)/365)*$N111*$F111*Simulation!$C$10)</f>
        <v>0</v>
      </c>
      <c r="P111" s="46">
        <f>IF($E$33=5,(($B$26*$B$12)/365)*$C111*$E$33*$F111*Simulation!$C$10,((($B$26*$B$12)/365)*$M111*Simulation!$C$10)+(($B$26*$B$12)/365)*$N111*$F111*Simulation!$C$10)</f>
        <v>0</v>
      </c>
      <c r="Q111" s="79">
        <f>IF($E$33=5,($E$20/365)*$C111*$E$33*$F111*Simulation!$C$10,(($E$20/365)*$M111*Simulation!$C$10)+($E$20/365)*$N111*$F111*Simulation!$C$10)</f>
        <v>0</v>
      </c>
      <c r="R111" s="79" t="e">
        <f>IF($E$33=5,($E$21*#REF!/365)*$C111*$E$33*$F111*Simulation!$C$10,(($E$21*#REF!/365)*$M111*Simulation!$C$10)+($E$21*#REF!/365)*$N111*$F111*Simulation!$C$10)</f>
        <v>#REF!</v>
      </c>
    </row>
    <row r="112" spans="1:18" s="2" customFormat="1" ht="15" x14ac:dyDescent="0.25">
      <c r="A112" s="37">
        <v>45505</v>
      </c>
      <c r="B112" s="38">
        <v>45505</v>
      </c>
      <c r="C112" s="39">
        <f>MAX(0,MIN(EOMONTH(B112,0),Simulation!$C$12)-MAX(B112,Simulation!$C$11)+1)</f>
        <v>0</v>
      </c>
      <c r="D112" s="197"/>
      <c r="E112" s="195"/>
      <c r="F112" s="39">
        <v>1</v>
      </c>
      <c r="G112" s="40">
        <f t="shared" si="8"/>
        <v>31</v>
      </c>
      <c r="H112" s="199"/>
      <c r="I112" s="41">
        <f>IF(Simulation!$C$12&gt;=$B$133,IF(AND(YEAR(Simulation!$C$11)=YEAR(A112),MONTH(A112)=MONTH(Simulation!$C$11)),1,0),0)</f>
        <v>0</v>
      </c>
      <c r="J112" s="42">
        <f t="shared" si="4"/>
        <v>0</v>
      </c>
      <c r="K112" s="43" t="str">
        <f t="shared" si="10"/>
        <v>ok</v>
      </c>
      <c r="L112" s="43">
        <f>IF(J112=1,IF(J113=0,IF(DAY(Simulation!$C$11)=1,0,DAY(Simulation!$C$11)-1),0),0)</f>
        <v>0</v>
      </c>
      <c r="M112" s="40">
        <f>IF(AND(J111=1,J112=1,J113=0,DAY(Simulation!$C$11)=1),0,IF(J112=1,IF(L112&lt;&gt;0,L112,C112),0))</f>
        <v>0</v>
      </c>
      <c r="N112" s="44">
        <f t="shared" si="11"/>
        <v>0</v>
      </c>
      <c r="O112" s="45">
        <f>IF($E$33=5,(($B$25*$B$11)/365)*$C112*$E$33*$F112*Simulation!$C$10,((($B$25*$B$11)/365)*$M112*Simulation!$C$10)+(($B$25*$B$11)/365)*$N112*$F112*Simulation!$C$10)</f>
        <v>0</v>
      </c>
      <c r="P112" s="46">
        <f>IF($E$33=5,(($B$26*$B$12)/365)*$C112*$E$33*$F112*Simulation!$C$10,((($B$26*$B$12)/365)*$M112*Simulation!$C$10)+(($B$26*$B$12)/365)*$N112*$F112*Simulation!$C$10)</f>
        <v>0</v>
      </c>
      <c r="Q112" s="79">
        <f>IF($E$33=5,($E$20/365)*$C112*$E$33*$F112*Simulation!$C$10,(($E$20/365)*$M112*Simulation!$C$10)+($E$20/365)*$N112*$F112*Simulation!$C$10)</f>
        <v>0</v>
      </c>
      <c r="R112" s="79" t="e">
        <f>IF($E$33=5,($E$21*#REF!/365)*$C112*$E$33*$F112*Simulation!$C$10,(($E$21*#REF!/365)*$M112*Simulation!$C$10)+($E$21*#REF!/365)*$N112*$F112*Simulation!$C$10)</f>
        <v>#REF!</v>
      </c>
    </row>
    <row r="113" spans="1:18" s="2" customFormat="1" ht="15" x14ac:dyDescent="0.25">
      <c r="A113" s="37">
        <v>45536</v>
      </c>
      <c r="B113" s="38">
        <v>45536</v>
      </c>
      <c r="C113" s="39">
        <f>MAX(0,MIN(EOMONTH(B113,0),Simulation!$C$12)-MAX(B113,Simulation!$C$11)+1)</f>
        <v>0</v>
      </c>
      <c r="D113" s="197"/>
      <c r="E113" s="195"/>
      <c r="F113" s="39">
        <v>1</v>
      </c>
      <c r="G113" s="40">
        <f t="shared" si="8"/>
        <v>30</v>
      </c>
      <c r="H113" s="199"/>
      <c r="I113" s="41">
        <f>IF(Simulation!$C$12&gt;=$B$133,IF(AND(YEAR(Simulation!$C$11)=YEAR(A113),MONTH(A113)=MONTH(Simulation!$C$11)),1,0),0)</f>
        <v>0</v>
      </c>
      <c r="J113" s="42">
        <f t="shared" si="4"/>
        <v>0</v>
      </c>
      <c r="K113" s="43" t="str">
        <f t="shared" si="10"/>
        <v>ok</v>
      </c>
      <c r="L113" s="43">
        <f>IF(J113=1,IF(J114=0,IF(DAY(Simulation!$C$11)=1,0,DAY(Simulation!$C$11)-1),0),0)</f>
        <v>0</v>
      </c>
      <c r="M113" s="40">
        <f>IF(AND(J112=1,J113=1,J114=0,DAY(Simulation!$C$11)=1),0,IF(J113=1,IF(L113&lt;&gt;0,L113,C113),0))</f>
        <v>0</v>
      </c>
      <c r="N113" s="44">
        <f t="shared" si="11"/>
        <v>0</v>
      </c>
      <c r="O113" s="45">
        <f>IF($E$33=5,(($B$25*$B$11)/365)*$C113*$E$33*$F113*Simulation!$C$10,((($B$25*$B$11)/365)*$M113*Simulation!$C$10)+(($B$25*$B$11)/365)*$N113*$F113*Simulation!$C$10)</f>
        <v>0</v>
      </c>
      <c r="P113" s="46">
        <f>IF($E$33=5,(($B$26*$B$12)/365)*$C113*$E$33*$F113*Simulation!$C$10,((($B$26*$B$12)/365)*$M113*Simulation!$C$10)+(($B$26*$B$12)/365)*$N113*$F113*Simulation!$C$10)</f>
        <v>0</v>
      </c>
      <c r="Q113" s="79">
        <f>IF($E$33=5,($E$20/365)*$C113*$E$33*$F113*Simulation!$C$10,(($E$20/365)*$M113*Simulation!$C$10)+($E$20/365)*$N113*$F113*Simulation!$C$10)</f>
        <v>0</v>
      </c>
      <c r="R113" s="79" t="e">
        <f>IF($E$33=5,($E$21*#REF!/365)*$C113*$E$33*$F113*Simulation!$C$10,(($E$21*#REF!/365)*$M113*Simulation!$C$10)+($E$21*#REF!/365)*$N113*$F113*Simulation!$C$10)</f>
        <v>#REF!</v>
      </c>
    </row>
    <row r="114" spans="1:18" s="2" customFormat="1" ht="15" x14ac:dyDescent="0.25">
      <c r="A114" s="37">
        <v>45566</v>
      </c>
      <c r="B114" s="38">
        <v>45566</v>
      </c>
      <c r="C114" s="39">
        <f>MAX(0,MIN(EOMONTH(B114,0),Simulation!$C$12)-MAX(B114,Simulation!$C$11)+1)</f>
        <v>0</v>
      </c>
      <c r="D114" s="197"/>
      <c r="E114" s="195"/>
      <c r="F114" s="39">
        <v>1</v>
      </c>
      <c r="G114" s="40">
        <f t="shared" si="8"/>
        <v>31</v>
      </c>
      <c r="H114" s="199"/>
      <c r="I114" s="41">
        <f>IF(Simulation!$C$12&gt;=$B$133,IF(AND(YEAR(Simulation!$C$11)=YEAR(A114),MONTH(A114)=MONTH(Simulation!$C$11)),1,0),0)</f>
        <v>0</v>
      </c>
      <c r="J114" s="42">
        <f t="shared" si="4"/>
        <v>0</v>
      </c>
      <c r="K114" s="43" t="str">
        <f t="shared" si="10"/>
        <v>ok</v>
      </c>
      <c r="L114" s="43">
        <f>IF(J114=1,IF(J115=0,IF(DAY(Simulation!$C$11)=1,0,DAY(Simulation!$C$11)-1),0),0)</f>
        <v>0</v>
      </c>
      <c r="M114" s="40">
        <f>IF(AND(J113=1,J114=1,J115=0,DAY(Simulation!$C$11)=1),0,IF(J114=1,IF(L114&lt;&gt;0,L114,C114),0))</f>
        <v>0</v>
      </c>
      <c r="N114" s="44">
        <f t="shared" si="11"/>
        <v>0</v>
      </c>
      <c r="O114" s="45">
        <f>IF($E$33=5,(($B$25*$B$11)/365)*$C114*$E$33*$F114*Simulation!$C$10,((($B$25*$B$11)/365)*$M114*Simulation!$C$10)+(($B$25*$B$11)/365)*$N114*$F114*Simulation!$C$10)</f>
        <v>0</v>
      </c>
      <c r="P114" s="46">
        <f>IF($E$33=5,(($B$26*$B$12)/365)*$C114*$E$33*$F114*Simulation!$C$10,((($B$26*$B$12)/365)*$M114*Simulation!$C$10)+(($B$26*$B$12)/365)*$N114*$F114*Simulation!$C$10)</f>
        <v>0</v>
      </c>
      <c r="Q114" s="79">
        <f>IF($E$33=5,($E$20/365)*$C114*$E$33*$F114*Simulation!$C$10,(($E$20/365)*$M114*Simulation!$C$10)+($E$20/365)*$N114*$F114*Simulation!$C$10)</f>
        <v>0</v>
      </c>
      <c r="R114" s="79" t="e">
        <f>IF($E$33=5,($E$21*#REF!/365)*$C114*$E$33*$F114*Simulation!$C$10,(($E$21*#REF!/365)*$M114*Simulation!$C$10)+($E$21*#REF!/365)*$N114*$F114*Simulation!$C$10)</f>
        <v>#REF!</v>
      </c>
    </row>
    <row r="115" spans="1:18" s="2" customFormat="1" ht="15" x14ac:dyDescent="0.25">
      <c r="A115" s="37">
        <v>45597</v>
      </c>
      <c r="B115" s="38">
        <v>45597</v>
      </c>
      <c r="C115" s="39">
        <f>MAX(0,MIN(EOMONTH(B115,0),Simulation!$C$12)-MAX(B115,Simulation!$C$11)+1)</f>
        <v>0</v>
      </c>
      <c r="D115" s="197"/>
      <c r="E115" s="195"/>
      <c r="F115" s="39">
        <v>1</v>
      </c>
      <c r="G115" s="40">
        <f t="shared" si="8"/>
        <v>30</v>
      </c>
      <c r="H115" s="199"/>
      <c r="I115" s="41">
        <f>IF(Simulation!$C$12&gt;=$B$133,IF(AND(YEAR(Simulation!$C$11)=YEAR(A115),MONTH(A115)=MONTH(Simulation!$C$11)),1,0),0)</f>
        <v>0</v>
      </c>
      <c r="J115" s="42">
        <f t="shared" si="4"/>
        <v>0</v>
      </c>
      <c r="K115" s="43" t="str">
        <f t="shared" si="10"/>
        <v>ok</v>
      </c>
      <c r="L115" s="43">
        <f>IF(J115=1,IF(J116=0,IF(DAY(Simulation!$C$11)=1,0,DAY(Simulation!$C$11)-1),0),0)</f>
        <v>0</v>
      </c>
      <c r="M115" s="40">
        <f>IF(AND(J114=1,J115=1,J116=0,DAY(Simulation!$C$11)=1),0,IF(J115=1,IF(L115&lt;&gt;0,L115,C115),0))</f>
        <v>0</v>
      </c>
      <c r="N115" s="44">
        <f t="shared" si="11"/>
        <v>0</v>
      </c>
      <c r="O115" s="45">
        <f>IF($E$33=5,(($B$25*$B$11)/365)*$C115*$E$33*$F115*Simulation!$C$10,((($B$25*$B$11)/365)*$M115*Simulation!$C$10)+(($B$25*$B$11)/365)*$N115*$F115*Simulation!$C$10)</f>
        <v>0</v>
      </c>
      <c r="P115" s="46">
        <f>IF($E$33=5,(($B$26*$B$12)/365)*$C115*$E$33*$F115*Simulation!$C$10,((($B$26*$B$12)/365)*$M115*Simulation!$C$10)+(($B$26*$B$12)/365)*$N115*$F115*Simulation!$C$10)</f>
        <v>0</v>
      </c>
      <c r="Q115" s="79">
        <f>IF($E$33=5,($E$20/365)*$C115*$E$33*$F115*Simulation!$C$10,(($E$20/365)*$M115*Simulation!$C$10)+($E$20/365)*$N115*$F115*Simulation!$C$10)</f>
        <v>0</v>
      </c>
      <c r="R115" s="79" t="e">
        <f>IF($E$33=5,($E$21*#REF!/365)*$C115*$E$33*$F115*Simulation!$C$10,(($E$21*#REF!/365)*$M115*Simulation!$C$10)+($E$21*#REF!/365)*$N115*$F115*Simulation!$C$10)</f>
        <v>#REF!</v>
      </c>
    </row>
    <row r="116" spans="1:18" s="2" customFormat="1" ht="15" x14ac:dyDescent="0.25">
      <c r="A116" s="37">
        <v>45627</v>
      </c>
      <c r="B116" s="38">
        <v>45627</v>
      </c>
      <c r="C116" s="39">
        <f>MAX(0,MIN(EOMONTH(B116,0),Simulation!$C$12)-MAX(B116,Simulation!$C$11)+1)</f>
        <v>0</v>
      </c>
      <c r="D116" s="197"/>
      <c r="E116" s="195"/>
      <c r="F116" s="39">
        <v>1</v>
      </c>
      <c r="G116" s="40">
        <f t="shared" si="8"/>
        <v>31</v>
      </c>
      <c r="H116" s="199"/>
      <c r="I116" s="41">
        <f>IF(Simulation!$C$12&gt;=$B$133,IF(AND(YEAR(Simulation!$C$11)=YEAR(A116),MONTH(A116)=MONTH(Simulation!$C$11)),1,0),0)</f>
        <v>0</v>
      </c>
      <c r="J116" s="42">
        <f t="shared" si="4"/>
        <v>0</v>
      </c>
      <c r="K116" s="43" t="str">
        <f t="shared" si="10"/>
        <v>ok</v>
      </c>
      <c r="L116" s="43">
        <f>IF(J116=1,IF(J117=0,IF(DAY(Simulation!$C$11)=1,0,DAY(Simulation!$C$11)-1),0),0)</f>
        <v>0</v>
      </c>
      <c r="M116" s="40">
        <f>IF(AND(J115=1,J116=1,J117=0,DAY(Simulation!$C$11)=1),0,IF(J116=1,IF(L116&lt;&gt;0,L116,C116),0))</f>
        <v>0</v>
      </c>
      <c r="N116" s="44">
        <f t="shared" si="11"/>
        <v>0</v>
      </c>
      <c r="O116" s="45">
        <f>IF($E$33=5,(($B$25*$B$11)/365)*$C116*$E$33*$F116*Simulation!$C$10,((($B$25*$B$11)/365)*$M116*Simulation!$C$10)+(($B$25*$B$11)/365)*$N116*$F116*Simulation!$C$10)</f>
        <v>0</v>
      </c>
      <c r="P116" s="46">
        <f>IF($E$33=5,(($B$26*$B$12)/365)*$C116*$E$33*$F116*Simulation!$C$10,((($B$26*$B$12)/365)*$M116*Simulation!$C$10)+(($B$26*$B$12)/365)*$N116*$F116*Simulation!$C$10)</f>
        <v>0</v>
      </c>
      <c r="Q116" s="79">
        <f>IF($E$33=5,($E$20/365)*$C116*$E$33*$F116*Simulation!$C$10,(($E$20/365)*$M116*Simulation!$C$10)+($E$20/365)*$N116*$F116*Simulation!$C$10)</f>
        <v>0</v>
      </c>
      <c r="R116" s="79" t="e">
        <f>IF($E$33=5,($E$21*#REF!/365)*$C116*$E$33*$F116*Simulation!$C$10,(($E$21*#REF!/365)*$M116*Simulation!$C$10)+($E$21*#REF!/365)*$N116*$F116*Simulation!$C$10)</f>
        <v>#REF!</v>
      </c>
    </row>
    <row r="117" spans="1:18" s="2" customFormat="1" ht="15" x14ac:dyDescent="0.25">
      <c r="A117" s="37">
        <v>45658</v>
      </c>
      <c r="B117" s="38">
        <v>45658</v>
      </c>
      <c r="C117" s="39">
        <f>MAX(0,MIN(EOMONTH(B117,0),Simulation!$C$12)-MAX(B117,Simulation!$C$11)+1)</f>
        <v>0</v>
      </c>
      <c r="D117" s="197"/>
      <c r="E117" s="195"/>
      <c r="F117" s="39">
        <v>1</v>
      </c>
      <c r="G117" s="40">
        <f t="shared" si="8"/>
        <v>31</v>
      </c>
      <c r="H117" s="199"/>
      <c r="I117" s="41">
        <f>IF(Simulation!$C$12&gt;=$B$133,IF(AND(YEAR(Simulation!$C$11)=YEAR(A117),MONTH(A117)=MONTH(Simulation!$C$11)),1,0),0)</f>
        <v>0</v>
      </c>
      <c r="J117" s="42">
        <f t="shared" ref="J117:J128" si="12">IF($H$33=0,0,IF($H$33=1,SUM(I105:I117),IF($H$33=2,SUM(I93:I117),IF($H$33=3,SUM(I81:I117),IF($H$33=4,SUM(I69:I117),"more than 4 years")))))</f>
        <v>0</v>
      </c>
      <c r="K117" s="43" t="str">
        <f t="shared" ref="K117:K128" si="13">IF((M117+N117)&lt;&gt;C117,"issue","ok")</f>
        <v>ok</v>
      </c>
      <c r="L117" s="43">
        <f>IF(J117=1,IF(J118=0,IF(DAY(Simulation!$C$11)=1,0,DAY(Simulation!$C$11)-1),0),0)</f>
        <v>0</v>
      </c>
      <c r="M117" s="40">
        <f>IF(AND(J116=1,J117=1,J118=0,DAY(Simulation!$C$11)=1),0,IF(J117=1,IF(L117&lt;&gt;0,L117,C117),0))</f>
        <v>0</v>
      </c>
      <c r="N117" s="44">
        <f t="shared" ref="N117:N128" si="14">MAX(0,C117-M117)</f>
        <v>0</v>
      </c>
      <c r="O117" s="45">
        <f>IF($E$33=5,(($B$25*$B$11)/365)*$C117*$E$33*$F117*Simulation!$C$10,((($B$25*$B$11)/365)*$M117*Simulation!$C$10)+(($B$25*$B$11)/365)*$N117*$F117*Simulation!$C$10)</f>
        <v>0</v>
      </c>
      <c r="P117" s="46">
        <f>IF($E$33=5,(($B$26*$B$12)/365)*$C117*$E$33*$F117*Simulation!$C$10,((($B$26*$B$12)/365)*$M117*Simulation!$C$10)+(($B$26*$B$12)/365)*$N117*$F117*Simulation!$C$10)</f>
        <v>0</v>
      </c>
      <c r="Q117" s="79">
        <f>IF($E$33=5,($E$20/365)*$C117*$E$33*$F117*Simulation!$C$10,(($E$20/365)*$M117*Simulation!$C$10)+($E$20/365)*$N117*$F117*Simulation!$C$10)</f>
        <v>0</v>
      </c>
      <c r="R117" s="79" t="e">
        <f>IF($E$33=5,($E$21*#REF!/365)*$C117*$E$33*$F117*Simulation!$C$10,(($E$21*#REF!/365)*$M117*Simulation!$C$10)+($E$21*#REF!/365)*$N117*$F117*Simulation!$C$10)</f>
        <v>#REF!</v>
      </c>
    </row>
    <row r="118" spans="1:18" s="2" customFormat="1" ht="15" x14ac:dyDescent="0.25">
      <c r="A118" s="37">
        <v>45689</v>
      </c>
      <c r="B118" s="38">
        <v>45689</v>
      </c>
      <c r="C118" s="39">
        <f>MAX(0,MIN(EOMONTH(B118,0),Simulation!$C$12)-MAX(B118,Simulation!$C$11)+1)</f>
        <v>28</v>
      </c>
      <c r="D118" s="197"/>
      <c r="E118" s="195"/>
      <c r="F118" s="39">
        <v>1</v>
      </c>
      <c r="G118" s="40">
        <f t="shared" si="8"/>
        <v>28</v>
      </c>
      <c r="H118" s="199"/>
      <c r="I118" s="41">
        <f>IF(Simulation!$C$12&gt;=$B$133,IF(AND(YEAR(Simulation!$C$11)=YEAR(A118),MONTH(A118)=MONTH(Simulation!$C$11)),1,0),0)</f>
        <v>0</v>
      </c>
      <c r="J118" s="42">
        <f t="shared" si="12"/>
        <v>0</v>
      </c>
      <c r="K118" s="43" t="str">
        <f t="shared" si="13"/>
        <v>ok</v>
      </c>
      <c r="L118" s="43">
        <f>IF(J118=1,IF(J119=0,IF(DAY(Simulation!$C$11)=1,0,DAY(Simulation!$C$11)-1),0),0)</f>
        <v>0</v>
      </c>
      <c r="M118" s="40">
        <f>IF(AND(J117=1,J118=1,J119=0,DAY(Simulation!$C$11)=1),0,IF(J118=1,IF(L118&lt;&gt;0,L118,C118),0))</f>
        <v>0</v>
      </c>
      <c r="N118" s="44">
        <f t="shared" si="14"/>
        <v>28</v>
      </c>
      <c r="O118" s="45">
        <f>IF($E$33=5,(($B$25*$B$11)/365)*$C118*$E$33*$F118*Simulation!$C$10,((($B$25*$B$11)/365)*$M118*Simulation!$C$10)+(($B$25*$B$11)/365)*$N118*$F118*Simulation!$C$10)</f>
        <v>128531.50684931506</v>
      </c>
      <c r="P118" s="46">
        <f>IF($E$33=5,(($B$26*$B$12)/365)*$C118*$E$33*$F118*Simulation!$C$10,((($B$26*$B$12)/365)*$M118*Simulation!$C$10)+(($B$26*$B$12)/365)*$N118*$F118*Simulation!$C$10)</f>
        <v>75024.65753424658</v>
      </c>
      <c r="Q118" s="79">
        <f>IF($E$33=5,($E$20/365)*$C118*$E$33*$F118*Simulation!$C$10,(($E$20/365)*$M118*Simulation!$C$10)+($E$20/365)*$N118*$F118*Simulation!$C$10)</f>
        <v>0</v>
      </c>
      <c r="R118" s="79" t="e">
        <f>IF($E$33=5,($E$21*#REF!/365)*$C118*$E$33*$F118*Simulation!$C$10,(($E$21*#REF!/365)*$M118*Simulation!$C$10)+($E$21*#REF!/365)*$N118*$F118*Simulation!$C$10)</f>
        <v>#REF!</v>
      </c>
    </row>
    <row r="119" spans="1:18" s="2" customFormat="1" ht="15" x14ac:dyDescent="0.25">
      <c r="A119" s="37">
        <v>45717</v>
      </c>
      <c r="B119" s="38">
        <v>45717</v>
      </c>
      <c r="C119" s="39">
        <f>MAX(0,MIN(EOMONTH(B119,0),Simulation!$C$12)-MAX(B119,Simulation!$C$11)+1)</f>
        <v>15</v>
      </c>
      <c r="D119" s="197"/>
      <c r="E119" s="195"/>
      <c r="F119" s="39">
        <v>1</v>
      </c>
      <c r="G119" s="40">
        <f t="shared" si="8"/>
        <v>31</v>
      </c>
      <c r="H119" s="199"/>
      <c r="I119" s="41">
        <f>IF(Simulation!$C$12&gt;=$B$133,IF(AND(YEAR(Simulation!$C$11)=YEAR(A119),MONTH(A119)=MONTH(Simulation!$C$11)),1,0),0)</f>
        <v>0</v>
      </c>
      <c r="J119" s="42">
        <f t="shared" si="12"/>
        <v>0</v>
      </c>
      <c r="K119" s="43" t="str">
        <f t="shared" si="13"/>
        <v>ok</v>
      </c>
      <c r="L119" s="43">
        <f>IF(J119=1,IF(J120=0,IF(DAY(Simulation!$C$11)=1,0,DAY(Simulation!$C$11)-1),0),0)</f>
        <v>0</v>
      </c>
      <c r="M119" s="40">
        <f>IF(AND(J118=1,J119=1,J120=0,DAY(Simulation!$C$11)=1),0,IF(J119=1,IF(L119&lt;&gt;0,L119,C119),0))</f>
        <v>0</v>
      </c>
      <c r="N119" s="44">
        <f t="shared" si="14"/>
        <v>15</v>
      </c>
      <c r="O119" s="45">
        <f>IF($E$33=5,(($B$25*$B$11)/365)*$C119*$E$33*$F119*Simulation!$C$10,((($B$25*$B$11)/365)*$M119*Simulation!$C$10)+(($B$25*$B$11)/365)*$N119*$F119*Simulation!$C$10)</f>
        <v>68856.164383561641</v>
      </c>
      <c r="P119" s="46">
        <f>IF($E$33=5,(($B$26*$B$12)/365)*$C119*$E$33*$F119*Simulation!$C$10,((($B$26*$B$12)/365)*$M119*Simulation!$C$10)+(($B$26*$B$12)/365)*$N119*$F119*Simulation!$C$10)</f>
        <v>40191.780821917811</v>
      </c>
      <c r="Q119" s="79">
        <f>IF($E$33=5,($E$20/365)*$C119*$E$33*$F119*Simulation!$C$10,(($E$20/365)*$M119*Simulation!$C$10)+($E$20/365)*$N119*$F119*Simulation!$C$10)</f>
        <v>0</v>
      </c>
      <c r="R119" s="79" t="e">
        <f>IF($E$33=5,($E$21*#REF!/365)*$C119*$E$33*$F119*Simulation!$C$10,(($E$21*#REF!/365)*$M119*Simulation!$C$10)+($E$21*#REF!/365)*$N119*$F119*Simulation!$C$10)</f>
        <v>#REF!</v>
      </c>
    </row>
    <row r="120" spans="1:18" s="2" customFormat="1" ht="15" x14ac:dyDescent="0.25">
      <c r="A120" s="37">
        <v>45748</v>
      </c>
      <c r="B120" s="38">
        <v>45748</v>
      </c>
      <c r="C120" s="39">
        <f>MAX(0,MIN(EOMONTH(B120,0),Simulation!$C$12)-MAX(B120,Simulation!$C$11)+1)</f>
        <v>0</v>
      </c>
      <c r="D120" s="197"/>
      <c r="E120" s="195"/>
      <c r="F120" s="39">
        <v>1</v>
      </c>
      <c r="G120" s="40">
        <f t="shared" si="8"/>
        <v>30</v>
      </c>
      <c r="H120" s="199"/>
      <c r="I120" s="41">
        <f>IF(Simulation!$C$12&gt;=$B$133,IF(AND(YEAR(Simulation!$C$11)=YEAR(A120),MONTH(A120)=MONTH(Simulation!$C$11)),1,0),0)</f>
        <v>0</v>
      </c>
      <c r="J120" s="42">
        <f t="shared" si="12"/>
        <v>0</v>
      </c>
      <c r="K120" s="43" t="str">
        <f t="shared" si="13"/>
        <v>ok</v>
      </c>
      <c r="L120" s="43">
        <f>IF(J120=1,IF(J121=0,IF(DAY(Simulation!$C$11)=1,0,DAY(Simulation!$C$11)-1),0),0)</f>
        <v>0</v>
      </c>
      <c r="M120" s="40">
        <f>IF(AND(J119=1,J120=1,J121=0,DAY(Simulation!$C$11)=1),0,IF(J120=1,IF(L120&lt;&gt;0,L120,C120),0))</f>
        <v>0</v>
      </c>
      <c r="N120" s="44">
        <f t="shared" si="14"/>
        <v>0</v>
      </c>
      <c r="O120" s="45">
        <f>IF($E$33=5,(($B$25*$B$11)/365)*$C120*$E$33*$F120*Simulation!$C$10,((($B$25*$B$11)/365)*$M120*Simulation!$C$10)+(($B$25*$B$11)/365)*$N120*$F120*Simulation!$C$10)</f>
        <v>0</v>
      </c>
      <c r="P120" s="46">
        <f>IF($E$33=5,(($B$26*$B$12)/365)*$C120*$E$33*$F120*Simulation!$C$10,((($B$26*$B$12)/365)*$M120*Simulation!$C$10)+(($B$26*$B$12)/365)*$N120*$F120*Simulation!$C$10)</f>
        <v>0</v>
      </c>
      <c r="Q120" s="79">
        <f>IF($E$33=5,($E$20/365)*$C120*$E$33*$F120*Simulation!$C$10,(($E$20/365)*$M120*Simulation!$C$10)+($E$20/365)*$N120*$F120*Simulation!$C$10)</f>
        <v>0</v>
      </c>
      <c r="R120" s="79" t="e">
        <f>IF($E$33=5,($E$21*#REF!/365)*$C120*$E$33*$F120*Simulation!$C$10,(($E$21*#REF!/365)*$M120*Simulation!$C$10)+($E$21*#REF!/365)*$N120*$F120*Simulation!$C$10)</f>
        <v>#REF!</v>
      </c>
    </row>
    <row r="121" spans="1:18" s="2" customFormat="1" ht="15" x14ac:dyDescent="0.25">
      <c r="A121" s="37">
        <v>45778</v>
      </c>
      <c r="B121" s="38">
        <v>45778</v>
      </c>
      <c r="C121" s="39">
        <f>MAX(0,MIN(EOMONTH(B121,0),Simulation!$C$12)-MAX(B121,Simulation!$C$11)+1)</f>
        <v>0</v>
      </c>
      <c r="D121" s="197"/>
      <c r="E121" s="195"/>
      <c r="F121" s="39">
        <v>1</v>
      </c>
      <c r="G121" s="40">
        <f t="shared" si="8"/>
        <v>31</v>
      </c>
      <c r="H121" s="199"/>
      <c r="I121" s="41">
        <f>IF(Simulation!$C$12&gt;=$B$133,IF(AND(YEAR(Simulation!$C$11)=YEAR(A121),MONTH(A121)=MONTH(Simulation!$C$11)),1,0),0)</f>
        <v>0</v>
      </c>
      <c r="J121" s="42">
        <f t="shared" si="12"/>
        <v>0</v>
      </c>
      <c r="K121" s="43" t="str">
        <f t="shared" si="13"/>
        <v>ok</v>
      </c>
      <c r="L121" s="43">
        <f>IF(J121=1,IF(J122=0,IF(DAY(Simulation!$C$11)=1,0,DAY(Simulation!$C$11)-1),0),0)</f>
        <v>0</v>
      </c>
      <c r="M121" s="40">
        <f>IF(AND(J120=1,J121=1,J122=0,DAY(Simulation!$C$11)=1),0,IF(J121=1,IF(L121&lt;&gt;0,L121,C121),0))</f>
        <v>0</v>
      </c>
      <c r="N121" s="44">
        <f t="shared" si="14"/>
        <v>0</v>
      </c>
      <c r="O121" s="45">
        <f>IF($E$33=5,(($B$25*$B$11)/365)*$C121*$E$33*$F121*Simulation!$C$10,((($B$25*$B$11)/365)*$M121*Simulation!$C$10)+(($B$25*$B$11)/365)*$N121*$F121*Simulation!$C$10)</f>
        <v>0</v>
      </c>
      <c r="P121" s="46">
        <f>IF($E$33=5,(($B$26*$B$12)/365)*$C121*$E$33*$F121*Simulation!$C$10,((($B$26*$B$12)/365)*$M121*Simulation!$C$10)+(($B$26*$B$12)/365)*$N121*$F121*Simulation!$C$10)</f>
        <v>0</v>
      </c>
      <c r="Q121" s="79">
        <f>IF($E$33=5,($E$20/365)*$C121*$E$33*$F121*Simulation!$C$10,(($E$20/365)*$M121*Simulation!$C$10)+($E$20/365)*$N121*$F121*Simulation!$C$10)</f>
        <v>0</v>
      </c>
      <c r="R121" s="79" t="e">
        <f>IF($E$33=5,($E$21*#REF!/365)*$C121*$E$33*$F121*Simulation!$C$10,(($E$21*#REF!/365)*$M121*Simulation!$C$10)+($E$21*#REF!/365)*$N121*$F121*Simulation!$C$10)</f>
        <v>#REF!</v>
      </c>
    </row>
    <row r="122" spans="1:18" s="2" customFormat="1" ht="15" x14ac:dyDescent="0.25">
      <c r="A122" s="37">
        <v>45809</v>
      </c>
      <c r="B122" s="38">
        <v>45809</v>
      </c>
      <c r="C122" s="39">
        <f>MAX(0,MIN(EOMONTH(B122,0),Simulation!$C$12)-MAX(B122,Simulation!$C$11)+1)</f>
        <v>0</v>
      </c>
      <c r="D122" s="197"/>
      <c r="E122" s="195"/>
      <c r="F122" s="39">
        <v>1</v>
      </c>
      <c r="G122" s="40">
        <f t="shared" si="8"/>
        <v>30</v>
      </c>
      <c r="H122" s="199"/>
      <c r="I122" s="41">
        <f>IF(Simulation!$C$12&gt;=$B$133,IF(AND(YEAR(Simulation!$C$11)=YEAR(A122),MONTH(A122)=MONTH(Simulation!$C$11)),1,0),0)</f>
        <v>0</v>
      </c>
      <c r="J122" s="42">
        <f t="shared" si="12"/>
        <v>0</v>
      </c>
      <c r="K122" s="43" t="str">
        <f t="shared" si="13"/>
        <v>ok</v>
      </c>
      <c r="L122" s="43">
        <f>IF(J122=1,IF(J123=0,IF(DAY(Simulation!$C$11)=1,0,DAY(Simulation!$C$11)-1),0),0)</f>
        <v>0</v>
      </c>
      <c r="M122" s="40">
        <f>IF(AND(J121=1,J122=1,J123=0,DAY(Simulation!$C$11)=1),0,IF(J122=1,IF(L122&lt;&gt;0,L122,C122),0))</f>
        <v>0</v>
      </c>
      <c r="N122" s="44">
        <f t="shared" si="14"/>
        <v>0</v>
      </c>
      <c r="O122" s="45">
        <f>IF($E$33=5,(($B$25*$B$11)/365)*$C122*$E$33*$F122*Simulation!$C$10,((($B$25*$B$11)/365)*$M122*Simulation!$C$10)+(($B$25*$B$11)/365)*$N122*$F122*Simulation!$C$10)</f>
        <v>0</v>
      </c>
      <c r="P122" s="46">
        <f>IF($E$33=5,(($B$26*$B$12)/365)*$C122*$E$33*$F122*Simulation!$C$10,((($B$26*$B$12)/365)*$M122*Simulation!$C$10)+(($B$26*$B$12)/365)*$N122*$F122*Simulation!$C$10)</f>
        <v>0</v>
      </c>
      <c r="Q122" s="79">
        <f>IF($E$33=5,($E$20/365)*$C122*$E$33*$F122*Simulation!$C$10,(($E$20/365)*$M122*Simulation!$C$10)+($E$20/365)*$N122*$F122*Simulation!$C$10)</f>
        <v>0</v>
      </c>
      <c r="R122" s="79" t="e">
        <f>IF($E$33=5,($E$21*#REF!/365)*$C122*$E$33*$F122*Simulation!$C$10,(($E$21*#REF!/365)*$M122*Simulation!$C$10)+($E$21*#REF!/365)*$N122*$F122*Simulation!$C$10)</f>
        <v>#REF!</v>
      </c>
    </row>
    <row r="123" spans="1:18" s="2" customFormat="1" ht="15" x14ac:dyDescent="0.25">
      <c r="A123" s="37">
        <v>45839</v>
      </c>
      <c r="B123" s="38">
        <v>45839</v>
      </c>
      <c r="C123" s="39">
        <f>MAX(0,MIN(EOMONTH(B123,0),Simulation!$C$12)-MAX(B123,Simulation!$C$11)+1)</f>
        <v>0</v>
      </c>
      <c r="D123" s="197"/>
      <c r="E123" s="195"/>
      <c r="F123" s="39">
        <v>1</v>
      </c>
      <c r="G123" s="40">
        <f t="shared" si="8"/>
        <v>31</v>
      </c>
      <c r="H123" s="199"/>
      <c r="I123" s="41">
        <f>IF(Simulation!$C$12&gt;=$B$133,IF(AND(YEAR(Simulation!$C$11)=YEAR(A123),MONTH(A123)=MONTH(Simulation!$C$11)),1,0),0)</f>
        <v>0</v>
      </c>
      <c r="J123" s="42">
        <f t="shared" si="12"/>
        <v>0</v>
      </c>
      <c r="K123" s="43" t="str">
        <f t="shared" si="13"/>
        <v>ok</v>
      </c>
      <c r="L123" s="43">
        <f>IF(J123=1,IF(J124=0,IF(DAY(Simulation!$C$11)=1,0,DAY(Simulation!$C$11)-1),0),0)</f>
        <v>0</v>
      </c>
      <c r="M123" s="40">
        <f>IF(AND(J122=1,J123=1,J124=0,DAY(Simulation!$C$11)=1),0,IF(J123=1,IF(L123&lt;&gt;0,L123,C123),0))</f>
        <v>0</v>
      </c>
      <c r="N123" s="44">
        <f t="shared" si="14"/>
        <v>0</v>
      </c>
      <c r="O123" s="45">
        <f>IF($E$33=5,(($B$25*$B$11)/365)*$C123*$E$33*$F123*Simulation!$C$10,((($B$25*$B$11)/365)*$M123*Simulation!$C$10)+(($B$25*$B$11)/365)*$N123*$F123*Simulation!$C$10)</f>
        <v>0</v>
      </c>
      <c r="P123" s="46">
        <f>IF($E$33=5,(($B$26*$B$12)/365)*$C123*$E$33*$F123*Simulation!$C$10,((($B$26*$B$12)/365)*$M123*Simulation!$C$10)+(($B$26*$B$12)/365)*$N123*$F123*Simulation!$C$10)</f>
        <v>0</v>
      </c>
      <c r="Q123" s="79">
        <f>IF($E$33=5,($E$20/365)*$C123*$E$33*$F123*Simulation!$C$10,(($E$20/365)*$M123*Simulation!$C$10)+($E$20/365)*$N123*$F123*Simulation!$C$10)</f>
        <v>0</v>
      </c>
      <c r="R123" s="79" t="e">
        <f>IF($E$33=5,($E$21*#REF!/365)*$C123*$E$33*$F123*Simulation!$C$10,(($E$21*#REF!/365)*$M123*Simulation!$C$10)+($E$21*#REF!/365)*$N123*$F123*Simulation!$C$10)</f>
        <v>#REF!</v>
      </c>
    </row>
    <row r="124" spans="1:18" s="2" customFormat="1" ht="15" x14ac:dyDescent="0.25">
      <c r="A124" s="37">
        <v>45870</v>
      </c>
      <c r="B124" s="38">
        <v>45870</v>
      </c>
      <c r="C124" s="39">
        <f>MAX(0,MIN(EOMONTH(B124,0),Simulation!$C$12)-MAX(B124,Simulation!$C$11)+1)</f>
        <v>0</v>
      </c>
      <c r="D124" s="197"/>
      <c r="E124" s="195"/>
      <c r="F124" s="39">
        <v>1</v>
      </c>
      <c r="G124" s="40">
        <f t="shared" si="8"/>
        <v>31</v>
      </c>
      <c r="H124" s="199"/>
      <c r="I124" s="41">
        <f>IF(Simulation!$C$12&gt;=$B$133,IF(AND(YEAR(Simulation!$C$11)=YEAR(A124),MONTH(A124)=MONTH(Simulation!$C$11)),1,0),0)</f>
        <v>0</v>
      </c>
      <c r="J124" s="42">
        <f t="shared" si="12"/>
        <v>0</v>
      </c>
      <c r="K124" s="43" t="str">
        <f t="shared" si="13"/>
        <v>ok</v>
      </c>
      <c r="L124" s="43">
        <f>IF(J124=1,IF(J125=0,IF(DAY(Simulation!$C$11)=1,0,DAY(Simulation!$C$11)-1),0),0)</f>
        <v>0</v>
      </c>
      <c r="M124" s="40">
        <f>IF(AND(J123=1,J124=1,J125=0,DAY(Simulation!$C$11)=1),0,IF(J124=1,IF(L124&lt;&gt;0,L124,C124),0))</f>
        <v>0</v>
      </c>
      <c r="N124" s="44">
        <f t="shared" si="14"/>
        <v>0</v>
      </c>
      <c r="O124" s="45">
        <f>IF($E$33=5,(($B$25*$B$11)/365)*$C124*$E$33*$F124*Simulation!$C$10,((($B$25*$B$11)/365)*$M124*Simulation!$C$10)+(($B$25*$B$11)/365)*$N124*$F124*Simulation!$C$10)</f>
        <v>0</v>
      </c>
      <c r="P124" s="46">
        <f>IF($E$33=5,(($B$26*$B$12)/365)*$C124*$E$33*$F124*Simulation!$C$10,((($B$26*$B$12)/365)*$M124*Simulation!$C$10)+(($B$26*$B$12)/365)*$N124*$F124*Simulation!$C$10)</f>
        <v>0</v>
      </c>
      <c r="Q124" s="79">
        <f>IF($E$33=5,($E$20/365)*$C124*$E$33*$F124*Simulation!$C$10,(($E$20/365)*$M124*Simulation!$C$10)+($E$20/365)*$N124*$F124*Simulation!$C$10)</f>
        <v>0</v>
      </c>
      <c r="R124" s="79" t="e">
        <f>IF($E$33=5,($E$21*#REF!/365)*$C124*$E$33*$F124*Simulation!$C$10,(($E$21*#REF!/365)*$M124*Simulation!$C$10)+($E$21*#REF!/365)*$N124*$F124*Simulation!$C$10)</f>
        <v>#REF!</v>
      </c>
    </row>
    <row r="125" spans="1:18" s="2" customFormat="1" ht="15" x14ac:dyDescent="0.25">
      <c r="A125" s="37">
        <v>45901</v>
      </c>
      <c r="B125" s="38">
        <v>45901</v>
      </c>
      <c r="C125" s="39">
        <f>MAX(0,MIN(EOMONTH(B125,0),Simulation!$C$12)-MAX(B125,Simulation!$C$11)+1)</f>
        <v>0</v>
      </c>
      <c r="D125" s="197"/>
      <c r="E125" s="195"/>
      <c r="F125" s="39">
        <v>1</v>
      </c>
      <c r="G125" s="40">
        <f t="shared" si="8"/>
        <v>30</v>
      </c>
      <c r="H125" s="199"/>
      <c r="I125" s="41">
        <f>IF(Simulation!$C$12&gt;=$B$133,IF(AND(YEAR(Simulation!$C$11)=YEAR(A125),MONTH(A125)=MONTH(Simulation!$C$11)),1,0),0)</f>
        <v>0</v>
      </c>
      <c r="J125" s="42">
        <f t="shared" si="12"/>
        <v>0</v>
      </c>
      <c r="K125" s="43" t="str">
        <f t="shared" si="13"/>
        <v>ok</v>
      </c>
      <c r="L125" s="43">
        <f>IF(J125=1,IF(J126=0,IF(DAY(Simulation!$C$11)=1,0,DAY(Simulation!$C$11)-1),0),0)</f>
        <v>0</v>
      </c>
      <c r="M125" s="40">
        <f>IF(AND(J124=1,J125=1,J126=0,DAY(Simulation!$C$11)=1),0,IF(J125=1,IF(L125&lt;&gt;0,L125,C125),0))</f>
        <v>0</v>
      </c>
      <c r="N125" s="44">
        <f t="shared" si="14"/>
        <v>0</v>
      </c>
      <c r="O125" s="45">
        <f>IF($E$33=5,(($B$25*$B$11)/365)*$C125*$E$33*$F125*Simulation!$C$10,((($B$25*$B$11)/365)*$M125*Simulation!$C$10)+(($B$25*$B$11)/365)*$N125*$F125*Simulation!$C$10)</f>
        <v>0</v>
      </c>
      <c r="P125" s="46">
        <f>IF($E$33=5,(($B$26*$B$12)/365)*$C125*$E$33*$F125*Simulation!$C$10,((($B$26*$B$12)/365)*$M125*Simulation!$C$10)+(($B$26*$B$12)/365)*$N125*$F125*Simulation!$C$10)</f>
        <v>0</v>
      </c>
      <c r="Q125" s="79">
        <f>IF($E$33=5,($E$20/365)*$C125*$E$33*$F125*Simulation!$C$10,(($E$20/365)*$M125*Simulation!$C$10)+($E$20/365)*$N125*$F125*Simulation!$C$10)</f>
        <v>0</v>
      </c>
      <c r="R125" s="79" t="e">
        <f>IF($E$33=5,($E$21*#REF!/365)*$C125*$E$33*$F125*Simulation!$C$10,(($E$21*#REF!/365)*$M125*Simulation!$C$10)+($E$21*#REF!/365)*$N125*$F125*Simulation!$C$10)</f>
        <v>#REF!</v>
      </c>
    </row>
    <row r="126" spans="1:18" s="2" customFormat="1" ht="15" x14ac:dyDescent="0.25">
      <c r="A126" s="37">
        <v>45931</v>
      </c>
      <c r="B126" s="38">
        <v>45931</v>
      </c>
      <c r="C126" s="39">
        <f>MAX(0,MIN(EOMONTH(B126,0),Simulation!$C$12)-MAX(B126,Simulation!$C$11)+1)</f>
        <v>0</v>
      </c>
      <c r="D126" s="197"/>
      <c r="E126" s="195"/>
      <c r="F126" s="39">
        <v>1</v>
      </c>
      <c r="G126" s="40">
        <f t="shared" si="8"/>
        <v>31</v>
      </c>
      <c r="H126" s="199"/>
      <c r="I126" s="41">
        <f>IF(Simulation!$C$12&gt;=$B$133,IF(AND(YEAR(Simulation!$C$11)=YEAR(A126),MONTH(A126)=MONTH(Simulation!$C$11)),1,0),0)</f>
        <v>0</v>
      </c>
      <c r="J126" s="42">
        <f t="shared" si="12"/>
        <v>0</v>
      </c>
      <c r="K126" s="43" t="str">
        <f t="shared" si="13"/>
        <v>ok</v>
      </c>
      <c r="L126" s="43">
        <f>IF(J126=1,IF(J127=0,IF(DAY(Simulation!$C$11)=1,0,DAY(Simulation!$C$11)-1),0),0)</f>
        <v>0</v>
      </c>
      <c r="M126" s="40">
        <f>IF(AND(J125=1,J126=1,J127=0,DAY(Simulation!$C$11)=1),0,IF(J126=1,IF(L126&lt;&gt;0,L126,C126),0))</f>
        <v>0</v>
      </c>
      <c r="N126" s="44">
        <f t="shared" si="14"/>
        <v>0</v>
      </c>
      <c r="O126" s="45">
        <f>IF($E$33=5,(($B$25*$B$11)/365)*$C126*$E$33*$F126*Simulation!$C$10,((($B$25*$B$11)/365)*$M126*Simulation!$C$10)+(($B$25*$B$11)/365)*$N126*$F126*Simulation!$C$10)</f>
        <v>0</v>
      </c>
      <c r="P126" s="46">
        <f>IF($E$33=5,(($B$26*$B$12)/365)*$C126*$E$33*$F126*Simulation!$C$10,((($B$26*$B$12)/365)*$M126*Simulation!$C$10)+(($B$26*$B$12)/365)*$N126*$F126*Simulation!$C$10)</f>
        <v>0</v>
      </c>
      <c r="Q126" s="79">
        <f>IF($E$33=5,($E$20/365)*$C126*$E$33*$F126*Simulation!$C$10,(($E$20/365)*$M126*Simulation!$C$10)+($E$20/365)*$N126*$F126*Simulation!$C$10)</f>
        <v>0</v>
      </c>
      <c r="R126" s="79" t="e">
        <f>IF($E$33=5,($E$21*#REF!/365)*$C126*$E$33*$F126*Simulation!$C$10,(($E$21*#REF!/365)*$M126*Simulation!$C$10)+($E$21*#REF!/365)*$N126*$F126*Simulation!$C$10)</f>
        <v>#REF!</v>
      </c>
    </row>
    <row r="127" spans="1:18" s="2" customFormat="1" ht="15" x14ac:dyDescent="0.25">
      <c r="A127" s="37">
        <v>45962</v>
      </c>
      <c r="B127" s="38">
        <v>45962</v>
      </c>
      <c r="C127" s="39">
        <f>MAX(0,MIN(EOMONTH(B127,0),Simulation!$C$12)-MAX(B127,Simulation!$C$11)+1)</f>
        <v>0</v>
      </c>
      <c r="D127" s="197"/>
      <c r="E127" s="195"/>
      <c r="F127" s="39">
        <v>1</v>
      </c>
      <c r="G127" s="40">
        <f t="shared" si="8"/>
        <v>30</v>
      </c>
      <c r="H127" s="199"/>
      <c r="I127" s="41">
        <f>IF(Simulation!$C$12&gt;=$B$133,IF(AND(YEAR(Simulation!$C$11)=YEAR(A127),MONTH(A127)=MONTH(Simulation!$C$11)),1,0),0)</f>
        <v>0</v>
      </c>
      <c r="J127" s="42">
        <f t="shared" si="12"/>
        <v>0</v>
      </c>
      <c r="K127" s="43" t="str">
        <f t="shared" si="13"/>
        <v>ok</v>
      </c>
      <c r="L127" s="43">
        <f>IF(J127=1,IF(J128=0,IF(DAY(Simulation!$C$11)=1,0,DAY(Simulation!$C$11)-1),0),0)</f>
        <v>0</v>
      </c>
      <c r="M127" s="40">
        <f>IF(AND(J126=1,J127=1,J128=0,DAY(Simulation!$C$11)=1),0,IF(J127=1,IF(L127&lt;&gt;0,L127,C127),0))</f>
        <v>0</v>
      </c>
      <c r="N127" s="44">
        <f t="shared" si="14"/>
        <v>0</v>
      </c>
      <c r="O127" s="45">
        <f>IF($E$33=5,(($B$25*$B$11)/365)*$C127*$E$33*$F127*Simulation!$C$10,((($B$25*$B$11)/365)*$M127*Simulation!$C$10)+(($B$25*$B$11)/365)*$N127*$F127*Simulation!$C$10)</f>
        <v>0</v>
      </c>
      <c r="P127" s="46">
        <f>IF($E$33=5,(($B$26*$B$12)/365)*$C127*$E$33*$F127*Simulation!$C$10,((($B$26*$B$12)/365)*$M127*Simulation!$C$10)+(($B$26*$B$12)/365)*$N127*$F127*Simulation!$C$10)</f>
        <v>0</v>
      </c>
      <c r="Q127" s="79">
        <f>IF($E$33=5,($E$20/365)*$C127*$E$33*$F127*Simulation!$C$10,(($E$20/365)*$M127*Simulation!$C$10)+($E$20/365)*$N127*$F127*Simulation!$C$10)</f>
        <v>0</v>
      </c>
      <c r="R127" s="79" t="e">
        <f>IF($E$33=5,($E$21*#REF!/365)*$C127*$E$33*$F127*Simulation!$C$10,(($E$21*#REF!/365)*$M127*Simulation!$C$10)+($E$21*#REF!/365)*$N127*$F127*Simulation!$C$10)</f>
        <v>#REF!</v>
      </c>
    </row>
    <row r="128" spans="1:18" s="2" customFormat="1" ht="15" x14ac:dyDescent="0.25">
      <c r="A128" s="37">
        <v>45992</v>
      </c>
      <c r="B128" s="38">
        <v>45992</v>
      </c>
      <c r="C128" s="39">
        <f>MAX(0,MIN(EOMONTH(B128,0),Simulation!$C$12)-MAX(B128,Simulation!$C$11)+1)</f>
        <v>0</v>
      </c>
      <c r="D128" s="197"/>
      <c r="E128" s="195"/>
      <c r="F128" s="39">
        <v>1</v>
      </c>
      <c r="G128" s="40">
        <f t="shared" si="8"/>
        <v>31</v>
      </c>
      <c r="H128" s="199"/>
      <c r="I128" s="41">
        <f>IF(Simulation!$C$12&gt;=$B$133,IF(AND(YEAR(Simulation!$C$11)=YEAR(A128),MONTH(A128)=MONTH(Simulation!$C$11)),1,0),0)</f>
        <v>0</v>
      </c>
      <c r="J128" s="42">
        <f t="shared" si="12"/>
        <v>0</v>
      </c>
      <c r="K128" s="43" t="str">
        <f t="shared" si="13"/>
        <v>ok</v>
      </c>
      <c r="L128" s="43">
        <f>IF(J128=1,IF(J129=0,IF(DAY(Simulation!$C$11)=1,0,DAY(Simulation!$C$11)-1),0),0)</f>
        <v>0</v>
      </c>
      <c r="M128" s="40">
        <f>IF(AND(J127=1,J128=1,J129=0,DAY(Simulation!$C$11)=1),0,IF(J128=1,IF(L128&lt;&gt;0,L128,C128),0))</f>
        <v>0</v>
      </c>
      <c r="N128" s="44">
        <f t="shared" si="14"/>
        <v>0</v>
      </c>
      <c r="O128" s="45">
        <f>IF($E$33=5,(($B$25*$B$11)/365)*$C128*$E$33*$F128*Simulation!$C$10,((($B$25*$B$11)/365)*$M128*Simulation!$C$10)+(($B$25*$B$11)/365)*$N128*$F128*Simulation!$C$10)</f>
        <v>0</v>
      </c>
      <c r="P128" s="46">
        <f>IF($E$33=5,(($B$26*$B$12)/365)*$C128*$E$33*$F128*Simulation!$C$10,((($B$26*$B$12)/365)*$M128*Simulation!$C$10)+(($B$26*$B$12)/365)*$N128*$F128*Simulation!$C$10)</f>
        <v>0</v>
      </c>
      <c r="Q128" s="79">
        <f>IF($E$33=5,($E$20/365)*$C128*$E$33*$F128*Simulation!$C$10,(($E$20/365)*$M128*Simulation!$C$10)+($E$20/365)*$N128*$F128*Simulation!$C$10)</f>
        <v>0</v>
      </c>
      <c r="R128" s="79" t="e">
        <f>IF($E$33=5,($E$21*#REF!/365)*$C128*$E$33*$F128*Simulation!$C$10,(($E$21*#REF!/365)*$M128*Simulation!$C$10)+($E$21*#REF!/365)*$N128*$F128*Simulation!$C$10)</f>
        <v>#REF!</v>
      </c>
    </row>
    <row r="129" spans="1:16" s="2" customFormat="1" ht="15" x14ac:dyDescent="0.25">
      <c r="A129" s="47"/>
      <c r="B129" s="48"/>
      <c r="C129" s="49"/>
      <c r="D129" s="159"/>
      <c r="E129" s="160"/>
      <c r="F129" s="50"/>
      <c r="G129" s="51"/>
      <c r="H129" s="52"/>
      <c r="I129" s="35"/>
      <c r="J129" s="53"/>
      <c r="K129" s="54"/>
      <c r="L129" s="54"/>
      <c r="M129" s="51"/>
      <c r="N129" s="55"/>
      <c r="O129" s="56"/>
      <c r="P129" s="57"/>
    </row>
    <row r="130" spans="1:16" s="2" customFormat="1" ht="15" x14ac:dyDescent="0.25">
      <c r="A130" s="47"/>
      <c r="B130" s="48"/>
      <c r="C130" s="49"/>
      <c r="D130" s="159"/>
      <c r="E130" s="160"/>
      <c r="F130" s="50"/>
      <c r="G130" s="51"/>
      <c r="H130" s="52"/>
      <c r="I130" s="35"/>
      <c r="J130" s="53"/>
      <c r="K130" s="54"/>
      <c r="L130" s="54"/>
      <c r="M130" s="51"/>
      <c r="N130" s="55"/>
      <c r="O130" s="56"/>
      <c r="P130" s="57"/>
    </row>
    <row r="131" spans="1:16" s="2" customFormat="1" ht="15" x14ac:dyDescent="0.25">
      <c r="A131" s="16" t="s">
        <v>894</v>
      </c>
      <c r="B131" s="9">
        <f>MONTH(Simulation!C11)</f>
        <v>2</v>
      </c>
      <c r="C131" s="3"/>
      <c r="D131" s="3"/>
      <c r="J131" s="58"/>
      <c r="K131" s="59"/>
      <c r="L131" s="59"/>
      <c r="M131" s="59"/>
      <c r="N131" s="59"/>
      <c r="O131" s="59"/>
    </row>
    <row r="132" spans="1:16" s="2" customFormat="1" ht="15" x14ac:dyDescent="0.25">
      <c r="A132" s="16" t="s">
        <v>937</v>
      </c>
      <c r="B132" s="9">
        <f>DATE(YEAR(Simulation!C11),12,31)-DATE(YEAR(Simulation!C11),1,1)+1</f>
        <v>365</v>
      </c>
      <c r="C132" s="3"/>
      <c r="D132" s="3"/>
      <c r="J132" s="58"/>
      <c r="K132" s="59"/>
      <c r="L132" s="59"/>
      <c r="M132" s="59"/>
      <c r="N132" s="59"/>
      <c r="O132" s="59"/>
    </row>
    <row r="133" spans="1:16" s="2" customFormat="1" ht="15" x14ac:dyDescent="0.25">
      <c r="A133" s="16" t="s">
        <v>943</v>
      </c>
      <c r="B133" s="60">
        <f>DATE(YEAR(Simulation!$C$11)+1,MONTH(Simulation!$C$11),DAY(Simulation!$C$11)-1)</f>
        <v>46053</v>
      </c>
      <c r="C133" s="3"/>
      <c r="D133" s="3"/>
      <c r="J133" s="58"/>
      <c r="K133" s="59"/>
      <c r="L133" s="59"/>
      <c r="M133" s="59"/>
      <c r="N133" s="59"/>
      <c r="O133" s="59"/>
    </row>
    <row r="134" spans="1:16" s="2" customFormat="1" ht="15" x14ac:dyDescent="0.25">
      <c r="A134" s="16" t="s">
        <v>945</v>
      </c>
      <c r="B134" s="60">
        <f>DATE(YEAR(Simulation!$C$11)+2,MONTH(Simulation!$C$11),DAY(Simulation!$C$11)-1)</f>
        <v>46418</v>
      </c>
      <c r="C134" s="3"/>
      <c r="D134" s="3"/>
      <c r="J134" s="58"/>
      <c r="K134" s="59"/>
      <c r="L134" s="59"/>
      <c r="M134" s="59"/>
      <c r="N134" s="59"/>
      <c r="O134" s="59"/>
    </row>
    <row r="135" spans="1:16" s="2" customFormat="1" ht="15" x14ac:dyDescent="0.25">
      <c r="A135" s="16" t="s">
        <v>946</v>
      </c>
      <c r="B135" s="60">
        <f>DATE(YEAR(Simulation!$C$11)+3,MONTH(Simulation!$C$11),DAY(Simulation!$C$11)-1)</f>
        <v>46783</v>
      </c>
      <c r="C135" s="3"/>
      <c r="D135" s="3"/>
      <c r="J135" s="58"/>
      <c r="K135" s="59"/>
      <c r="L135" s="59"/>
      <c r="M135" s="59"/>
      <c r="N135" s="59"/>
      <c r="O135" s="59"/>
    </row>
    <row r="136" spans="1:16" s="2" customFormat="1" ht="15" x14ac:dyDescent="0.25">
      <c r="A136" s="16" t="s">
        <v>944</v>
      </c>
      <c r="B136" s="60">
        <f>DATE(YEAR(Simulation!$C$11)+4,MONTH(Simulation!$C$11),DAY(Simulation!$C$11)-1)</f>
        <v>47149</v>
      </c>
      <c r="C136" s="3"/>
      <c r="D136" s="3"/>
      <c r="J136" s="58"/>
      <c r="K136" s="59"/>
      <c r="L136" s="59"/>
      <c r="M136" s="59"/>
      <c r="N136" s="59"/>
      <c r="O136" s="59"/>
    </row>
    <row r="137" spans="1:16" s="2" customFormat="1" ht="15" x14ac:dyDescent="0.25">
      <c r="A137" s="16" t="s">
        <v>893</v>
      </c>
      <c r="B137" s="60">
        <f>Simulation!C11-DATE(YEAR(Simulation!C11),1,0)</f>
        <v>32</v>
      </c>
      <c r="C137" s="3"/>
      <c r="D137" s="3"/>
      <c r="N137" s="3"/>
      <c r="O137" s="3"/>
    </row>
    <row r="138" spans="1:16" s="2" customFormat="1" ht="15" x14ac:dyDescent="0.25">
      <c r="A138" s="16" t="s">
        <v>892</v>
      </c>
      <c r="B138" s="91">
        <f>Simulation!C12-DATE(YEAR(Simulation!C12),1,0)</f>
        <v>74</v>
      </c>
      <c r="C138" s="3"/>
      <c r="D138" s="3"/>
      <c r="N138" s="3"/>
      <c r="O138" s="3"/>
    </row>
    <row r="139" spans="1:16" s="2" customFormat="1" ht="15" x14ac:dyDescent="0.25">
      <c r="A139" s="16" t="s">
        <v>891</v>
      </c>
      <c r="B139" s="9">
        <f>DAY(Simulation!C11)</f>
        <v>1</v>
      </c>
      <c r="C139" s="3"/>
      <c r="D139" s="3"/>
      <c r="N139" s="3"/>
      <c r="O139" s="3"/>
    </row>
    <row r="140" spans="1:16" s="2" customFormat="1" ht="15" x14ac:dyDescent="0.25">
      <c r="A140" s="16" t="s">
        <v>890</v>
      </c>
      <c r="B140" s="9">
        <f>DAY(Simulation!C12)</f>
        <v>15</v>
      </c>
      <c r="C140" s="3"/>
      <c r="D140" s="3"/>
      <c r="N140" s="3"/>
      <c r="O140" s="3"/>
    </row>
    <row r="141" spans="1:16" s="2" customFormat="1" ht="15" x14ac:dyDescent="0.25">
      <c r="A141" s="19"/>
      <c r="B141" s="21"/>
      <c r="C141" s="61"/>
      <c r="D141" s="61"/>
      <c r="E141" s="62"/>
      <c r="N141" s="3"/>
      <c r="O141" s="3"/>
    </row>
    <row r="142" spans="1:16" s="2" customFormat="1" ht="15" x14ac:dyDescent="0.25">
      <c r="A142" s="23" t="s">
        <v>889</v>
      </c>
      <c r="B142" s="21"/>
      <c r="C142" s="61"/>
      <c r="D142" s="61"/>
      <c r="E142" s="62"/>
      <c r="N142" s="3"/>
      <c r="O142" s="3"/>
    </row>
    <row r="143" spans="1:16" s="2" customFormat="1" ht="15" x14ac:dyDescent="0.25">
      <c r="A143" s="3" t="s">
        <v>888</v>
      </c>
      <c r="B143" s="21"/>
      <c r="C143" s="3"/>
      <c r="D143" s="3"/>
      <c r="N143" s="3"/>
      <c r="O143" s="3"/>
    </row>
    <row r="144" spans="1:16" s="2" customFormat="1" ht="15" x14ac:dyDescent="0.25">
      <c r="A144" s="3" t="s">
        <v>885</v>
      </c>
      <c r="B144" s="21"/>
      <c r="C144" s="3"/>
      <c r="D144" s="3"/>
      <c r="N144" s="3"/>
      <c r="O144" s="3"/>
    </row>
    <row r="145" spans="1:15" s="2" customFormat="1" ht="15" x14ac:dyDescent="0.25">
      <c r="A145" s="3" t="s">
        <v>887</v>
      </c>
      <c r="B145" s="21"/>
      <c r="C145" s="3"/>
      <c r="D145" s="3"/>
      <c r="N145" s="3"/>
      <c r="O145" s="3"/>
    </row>
    <row r="146" spans="1:15" s="2" customFormat="1" ht="15" x14ac:dyDescent="0.25">
      <c r="A146" s="3" t="s">
        <v>886</v>
      </c>
      <c r="B146" s="21"/>
      <c r="C146" s="3"/>
      <c r="D146" s="3"/>
      <c r="N146" s="3"/>
      <c r="O146" s="3"/>
    </row>
    <row r="147" spans="1:15" ht="12.75" customHeight="1" x14ac:dyDescent="0.2"/>
  </sheetData>
  <sheetProtection selectLockedCells="1" selectUnlockedCells="1"/>
  <mergeCells count="8">
    <mergeCell ref="E33:E128"/>
    <mergeCell ref="D33:D128"/>
    <mergeCell ref="H33:H128"/>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49"/>
  <sheetViews>
    <sheetView topLeftCell="A6" zoomScale="80" zoomScaleNormal="80" workbookViewId="0">
      <selection activeCell="F29" sqref="F29"/>
    </sheetView>
  </sheetViews>
  <sheetFormatPr defaultColWidth="22.28515625" defaultRowHeight="12.75" x14ac:dyDescent="0.2"/>
  <cols>
    <col min="1" max="1" width="38.7109375" style="63" customWidth="1"/>
    <col min="2" max="2" width="30.5703125" style="63" customWidth="1"/>
    <col min="3" max="3" width="22.28515625" style="63"/>
    <col min="4" max="4" width="27.5703125" style="63" customWidth="1"/>
    <col min="5" max="16384" width="22.28515625" style="63"/>
  </cols>
  <sheetData>
    <row r="1" spans="1:15" s="1" customFormat="1" ht="15" x14ac:dyDescent="0.25">
      <c r="A1" s="1" t="s">
        <v>1013</v>
      </c>
    </row>
    <row r="2" spans="1:15" s="2" customFormat="1" ht="15" x14ac:dyDescent="0.25">
      <c r="C2" s="97"/>
      <c r="D2" s="3"/>
      <c r="N2" s="3"/>
      <c r="O2" s="3"/>
    </row>
    <row r="3" spans="1:15" s="2" customFormat="1" ht="15" x14ac:dyDescent="0.25">
      <c r="A3" s="188" t="s">
        <v>973</v>
      </c>
      <c r="B3" s="188"/>
      <c r="C3" s="3"/>
      <c r="N3" s="3"/>
      <c r="O3" s="3"/>
    </row>
    <row r="4" spans="1:15" s="2" customFormat="1" ht="15" x14ac:dyDescent="0.25">
      <c r="A4" s="77" t="str">
        <f>IF(E21="yes",D25,A21)</f>
        <v>High Pressure</v>
      </c>
      <c r="B4" s="85">
        <f>IF(E21="yes",E25,B21)</f>
        <v>515847.4315068493</v>
      </c>
      <c r="C4" s="3"/>
      <c r="N4" s="3"/>
      <c r="O4" s="3"/>
    </row>
    <row r="5" spans="1:15" s="2" customFormat="1" ht="15" x14ac:dyDescent="0.25">
      <c r="A5" s="126" t="str">
        <f>IF(E21="yes",D26,A22)</f>
        <v>Pressure Service</v>
      </c>
      <c r="B5" s="124">
        <f>IF(E21="yes",E26,B22)</f>
        <v>301103.42465753434</v>
      </c>
      <c r="C5" s="3"/>
      <c r="N5" s="3"/>
      <c r="O5" s="3"/>
    </row>
    <row r="6" spans="1:15" s="2" customFormat="1" ht="15" x14ac:dyDescent="0.25">
      <c r="A6" s="77" t="str">
        <f>A23</f>
        <v xml:space="preserve">Energy in Cash </v>
      </c>
      <c r="B6" s="86">
        <f>B23</f>
        <v>28000</v>
      </c>
      <c r="C6" s="3"/>
      <c r="N6" s="3"/>
      <c r="O6" s="3"/>
    </row>
    <row r="7" spans="1:15" s="2" customFormat="1" ht="15" x14ac:dyDescent="0.25">
      <c r="A7" s="84" t="str">
        <f>IF(E21="yes","(none)",A24)</f>
        <v>Odorisation</v>
      </c>
      <c r="B7" s="86">
        <f>IF(E21="yes"," ",B24)</f>
        <v>0</v>
      </c>
      <c r="C7" s="3"/>
      <c r="N7" s="3"/>
      <c r="O7" s="3"/>
    </row>
    <row r="8" spans="1:15" s="2" customFormat="1" ht="15" x14ac:dyDescent="0.25">
      <c r="A8" s="80" t="s">
        <v>920</v>
      </c>
      <c r="B8" s="83">
        <f>SUM(B4:B7)</f>
        <v>844950.8561643837</v>
      </c>
      <c r="C8" s="3"/>
      <c r="N8" s="3"/>
      <c r="O8" s="3"/>
    </row>
    <row r="9" spans="1:15" s="2" customFormat="1" ht="15" x14ac:dyDescent="0.25">
      <c r="C9" s="3"/>
      <c r="N9" s="3"/>
      <c r="O9" s="3"/>
    </row>
    <row r="10" spans="1:15" s="2" customFormat="1" ht="15" x14ac:dyDescent="0.25">
      <c r="A10" s="189" t="s">
        <v>917</v>
      </c>
      <c r="B10" s="190"/>
      <c r="C10" s="191"/>
      <c r="N10" s="3"/>
      <c r="O10" s="3"/>
    </row>
    <row r="11" spans="1:15" s="2" customFormat="1" ht="15" x14ac:dyDescent="0.25">
      <c r="A11" s="8"/>
      <c r="B11" s="18" t="s">
        <v>916</v>
      </c>
      <c r="C11" s="16" t="s">
        <v>1</v>
      </c>
      <c r="N11" s="3"/>
      <c r="O11" s="3"/>
    </row>
    <row r="12" spans="1:15" s="2" customFormat="1" ht="15" x14ac:dyDescent="0.25">
      <c r="A12" s="8" t="s">
        <v>872</v>
      </c>
      <c r="B12" s="20">
        <f>IF($B$27="H-zone",Parameters!B8,Parameters!B14)</f>
        <v>1.117</v>
      </c>
      <c r="C12" s="9" t="s">
        <v>915</v>
      </c>
      <c r="N12" s="3"/>
      <c r="O12" s="3"/>
    </row>
    <row r="13" spans="1:15" s="2" customFormat="1" ht="15" x14ac:dyDescent="0.25">
      <c r="A13" s="8" t="s">
        <v>1023</v>
      </c>
      <c r="B13" s="125">
        <f>IF($B$27="H-zone",Parameters!B9,Parameters!B15)</f>
        <v>0.65200000000000002</v>
      </c>
      <c r="C13" s="125" t="s">
        <v>915</v>
      </c>
      <c r="N13" s="3"/>
      <c r="O13" s="3"/>
    </row>
    <row r="14" spans="1:15" s="2" customFormat="1" ht="15" x14ac:dyDescent="0.25">
      <c r="A14" s="8" t="s">
        <v>871</v>
      </c>
      <c r="B14" s="20">
        <f>IF($B$27="H-zone",Parameters!B10,Parameters!B16)</f>
        <v>9.2100000000000001E-2</v>
      </c>
      <c r="C14" s="20" t="s">
        <v>914</v>
      </c>
      <c r="N14" s="3"/>
      <c r="O14" s="3"/>
    </row>
    <row r="15" spans="1:15" s="2" customFormat="1" ht="15" x14ac:dyDescent="0.25">
      <c r="C15" s="3"/>
      <c r="N15" s="3"/>
      <c r="O15" s="3"/>
    </row>
    <row r="16" spans="1:15" s="2" customFormat="1" ht="15" x14ac:dyDescent="0.25">
      <c r="A16" s="6" t="s">
        <v>954</v>
      </c>
      <c r="B16" s="7">
        <f ca="1">TODAY()</f>
        <v>45442</v>
      </c>
      <c r="C16" s="3"/>
      <c r="H16" s="4"/>
      <c r="I16" s="5"/>
      <c r="N16" s="3"/>
      <c r="O16" s="3"/>
    </row>
    <row r="17" spans="1:15" s="2" customFormat="1" ht="15" x14ac:dyDescent="0.25">
      <c r="A17" s="192"/>
      <c r="B17" s="192"/>
      <c r="C17" s="3"/>
      <c r="D17" s="3"/>
      <c r="I17" s="5"/>
      <c r="N17" s="3"/>
      <c r="O17" s="3"/>
    </row>
    <row r="18" spans="1:15" s="2" customFormat="1" ht="15" x14ac:dyDescent="0.25">
      <c r="A18" s="8" t="s">
        <v>1011</v>
      </c>
      <c r="B18" s="20" t="str">
        <f>CONCATENATE("Subscribing"," ",TEXT(Simulation!G10,"###.###")," ",Simulation!H10," ","from"," ",TEXT(Simulation!G11,"dd mmmm yyyy")," ","to"," ",TEXT(Simulation!G12,"dd mmmm yyyy")," on ",Simulation!G9," (",B27,")"," will cost a total of ",TEXT(B8,"€ ###.###"))</f>
        <v>Subscribing 1.000.000 kWh/h from 01 February 2025 to 15 February 2025 on 3B-FIBREGLASS SPRL BATTICE (H-Zone) will cost a total of € 844.951</v>
      </c>
      <c r="C18" s="3"/>
      <c r="D18" s="3"/>
      <c r="I18" s="5"/>
      <c r="N18" s="3"/>
      <c r="O18" s="3"/>
    </row>
    <row r="19" spans="1:15" s="2" customFormat="1" ht="15" x14ac:dyDescent="0.25">
      <c r="C19" s="3"/>
      <c r="D19" s="3"/>
      <c r="I19" s="5"/>
      <c r="N19" s="3"/>
      <c r="O19" s="3"/>
    </row>
    <row r="20" spans="1:15" s="2" customFormat="1" ht="15" x14ac:dyDescent="0.25">
      <c r="A20" s="188" t="s">
        <v>935</v>
      </c>
      <c r="B20" s="188"/>
      <c r="C20" s="3"/>
      <c r="D20" s="200" t="s">
        <v>974</v>
      </c>
      <c r="E20" s="200"/>
      <c r="F20" s="71" t="s">
        <v>968</v>
      </c>
      <c r="I20" s="5"/>
      <c r="N20" s="3"/>
      <c r="O20" s="3"/>
    </row>
    <row r="21" spans="1:15" s="2" customFormat="1" ht="15" x14ac:dyDescent="0.25">
      <c r="A21" s="10" t="s">
        <v>918</v>
      </c>
      <c r="B21" s="11">
        <f>SUM(O36:O131)</f>
        <v>515847.4315068493</v>
      </c>
      <c r="C21" s="3"/>
      <c r="D21" s="77" t="s">
        <v>972</v>
      </c>
      <c r="E21" s="9" t="str">
        <f>IF(Simulation!G9="GERRESHEIMER MOMIGNIES","Yes",IF(Simulation!G9="WIENERBERGER VELDWEZELT","Yes","No"))</f>
        <v>No</v>
      </c>
      <c r="I21" s="5"/>
      <c r="N21" s="3"/>
      <c r="O21" s="3"/>
    </row>
    <row r="22" spans="1:15" s="2" customFormat="1" ht="15" x14ac:dyDescent="0.25">
      <c r="A22" s="36" t="s">
        <v>1022</v>
      </c>
      <c r="B22" s="11">
        <f>SUM(P36:P131)</f>
        <v>301103.42465753434</v>
      </c>
      <c r="C22" s="3"/>
      <c r="D22" s="73" t="s">
        <v>967</v>
      </c>
      <c r="E22" s="74">
        <f>IF(Simulation!G9="GERRESHEIMER MOMIGNIES",Parameters!B37,IF(Simulation!G9="WIENERBERGER VELDWEZELT",Parameters!C37,0))</f>
        <v>0</v>
      </c>
      <c r="F22" s="71" t="s">
        <v>960</v>
      </c>
      <c r="I22" s="5"/>
      <c r="N22" s="3"/>
      <c r="O22" s="3"/>
    </row>
    <row r="23" spans="1:15" s="2" customFormat="1" ht="15" x14ac:dyDescent="0.25">
      <c r="A23" s="8" t="s">
        <v>933</v>
      </c>
      <c r="B23" s="11">
        <f>(Parameters!B18/100)*Simulation!G13*Simulation!G14</f>
        <v>28000</v>
      </c>
      <c r="C23" s="3"/>
      <c r="D23" s="73" t="s">
        <v>969</v>
      </c>
      <c r="E23" s="75">
        <f>IF(Simulation!G9="GERRESHEIMER MOMIGNIES",Parameters!B38,IF(Simulation!G9="WIENERBERGER VELDWEZELT",Parameters!C38,0))</f>
        <v>0</v>
      </c>
      <c r="F23" s="71" t="s">
        <v>963</v>
      </c>
      <c r="I23" s="5"/>
      <c r="N23" s="3"/>
      <c r="O23" s="3"/>
    </row>
    <row r="24" spans="1:15" s="2" customFormat="1" ht="15" x14ac:dyDescent="0.25">
      <c r="A24" s="10" t="s">
        <v>934</v>
      </c>
      <c r="B24" s="12">
        <f>B14*Simulation!G13*B30</f>
        <v>0</v>
      </c>
      <c r="C24" s="3"/>
      <c r="D24" s="72" t="s">
        <v>970</v>
      </c>
      <c r="E24" s="76">
        <f>IF(Simulation!G9="GERRESHEIMER MOMIGNIES",Parameters!B39,IF(Simulation!G9="WIENERBERGER VELDWEZELT",Parameters!B40,0))</f>
        <v>0</v>
      </c>
      <c r="F24" s="78" t="s">
        <v>971</v>
      </c>
      <c r="I24" s="5"/>
      <c r="N24" s="3"/>
      <c r="O24" s="3"/>
    </row>
    <row r="25" spans="1:15" s="2" customFormat="1" ht="15" x14ac:dyDescent="0.25">
      <c r="A25" s="8" t="s">
        <v>920</v>
      </c>
      <c r="B25" s="14">
        <f>SUM(B21:B24)</f>
        <v>844950.8561643837</v>
      </c>
      <c r="D25" s="77" t="s">
        <v>956</v>
      </c>
      <c r="E25" s="79">
        <f>SUM(Q36:Q107)</f>
        <v>0</v>
      </c>
      <c r="F25" s="78"/>
      <c r="I25" s="5"/>
      <c r="N25" s="3"/>
      <c r="O25" s="3"/>
    </row>
    <row r="26" spans="1:15" s="2" customFormat="1" ht="15" x14ac:dyDescent="0.25">
      <c r="C26" s="3"/>
      <c r="D26" s="77" t="s">
        <v>957</v>
      </c>
      <c r="E26" s="79">
        <f>SUM(R36:R107)</f>
        <v>0</v>
      </c>
      <c r="F26" s="78"/>
      <c r="H26" s="15"/>
      <c r="I26" s="5"/>
      <c r="N26" s="3"/>
      <c r="O26" s="3"/>
    </row>
    <row r="27" spans="1:15" s="2" customFormat="1" ht="15" x14ac:dyDescent="0.25">
      <c r="A27" s="16" t="s">
        <v>919</v>
      </c>
      <c r="B27" s="17" t="str">
        <f>VLOOKUP(Simulation!$G$9,'Industr. Clients + Power Plants'!$A$2:$P$500,12,TRUE)</f>
        <v>H-Zone</v>
      </c>
      <c r="C27" s="3"/>
      <c r="D27" s="81"/>
      <c r="E27" s="82"/>
      <c r="H27" s="19"/>
      <c r="I27" s="5"/>
      <c r="N27" s="3"/>
      <c r="O27" s="3"/>
    </row>
    <row r="28" spans="1:15" s="2" customFormat="1" ht="15" x14ac:dyDescent="0.25">
      <c r="A28" s="10" t="s">
        <v>918</v>
      </c>
      <c r="B28" s="9">
        <f>VLOOKUP(Simulation!$G$9,'Industr. Clients + Power Plants'!$A$2:$P$500,13,TRUE)</f>
        <v>1</v>
      </c>
      <c r="C28" s="3"/>
      <c r="H28" s="21"/>
      <c r="I28" s="5"/>
      <c r="N28" s="3"/>
      <c r="O28" s="3"/>
    </row>
    <row r="29" spans="1:15" s="2" customFormat="1" ht="15" x14ac:dyDescent="0.25">
      <c r="A29" s="36" t="s">
        <v>1022</v>
      </c>
      <c r="B29" s="9">
        <f>VLOOKUP(Simulation!$G$9,'Industr. Clients + Power Plants'!$A$2:$P$500,14,TRUE)</f>
        <v>1</v>
      </c>
      <c r="C29" s="3"/>
      <c r="H29" s="21"/>
      <c r="I29" s="5"/>
      <c r="N29" s="3"/>
      <c r="O29" s="3"/>
    </row>
    <row r="30" spans="1:15" s="2" customFormat="1" ht="15" x14ac:dyDescent="0.25">
      <c r="A30" s="10" t="s">
        <v>871</v>
      </c>
      <c r="B30" s="9">
        <f>VLOOKUP(Simulation!$G$9,'Industr. Clients + Power Plants'!$A$2:$P$500,15,TRUE)</f>
        <v>0</v>
      </c>
      <c r="C30" s="3"/>
      <c r="D30" s="3"/>
      <c r="H30" s="25"/>
      <c r="I30" s="24"/>
      <c r="J30" s="26"/>
      <c r="N30" s="3"/>
      <c r="O30" s="3"/>
    </row>
    <row r="31" spans="1:15" s="2" customFormat="1" ht="15" x14ac:dyDescent="0.25">
      <c r="C31" s="3"/>
      <c r="D31" s="3"/>
      <c r="H31" s="27"/>
      <c r="I31" s="22"/>
      <c r="J31" s="27"/>
      <c r="N31" s="3"/>
      <c r="O31" s="3"/>
    </row>
    <row r="32" spans="1:15" s="2" customFormat="1" ht="15" x14ac:dyDescent="0.25">
      <c r="A32" s="16" t="s">
        <v>913</v>
      </c>
      <c r="B32" s="9">
        <f>Simulation!G12-Simulation!G11+1</f>
        <v>15</v>
      </c>
      <c r="C32" s="25"/>
      <c r="D32" s="25"/>
      <c r="G32" s="28"/>
      <c r="H32" s="28"/>
      <c r="I32" s="5"/>
      <c r="N32" s="3"/>
      <c r="O32" s="3"/>
    </row>
    <row r="33" spans="1:18" s="2" customFormat="1" ht="15" x14ac:dyDescent="0.25">
      <c r="A33" s="19"/>
      <c r="B33" s="21"/>
      <c r="C33" s="25"/>
      <c r="D33" s="25"/>
      <c r="G33" s="29"/>
      <c r="H33" s="29"/>
      <c r="I33" s="30"/>
      <c r="N33" s="3"/>
      <c r="O33" s="3"/>
    </row>
    <row r="34" spans="1:18" s="21" customFormat="1" ht="15" x14ac:dyDescent="0.25">
      <c r="A34" s="31"/>
      <c r="B34" s="32"/>
      <c r="C34" s="25"/>
      <c r="D34" s="193"/>
      <c r="E34" s="193"/>
      <c r="F34" s="33"/>
      <c r="I34" s="34"/>
      <c r="M34" s="35"/>
      <c r="N34" s="35"/>
      <c r="O34" s="25"/>
    </row>
    <row r="35" spans="1:18" s="27" customFormat="1" ht="15" x14ac:dyDescent="0.25">
      <c r="A35" s="16" t="s">
        <v>912</v>
      </c>
      <c r="B35" s="16" t="s">
        <v>911</v>
      </c>
      <c r="C35" s="16" t="s">
        <v>910</v>
      </c>
      <c r="D35" s="36" t="s">
        <v>909</v>
      </c>
      <c r="E35" s="36" t="s">
        <v>908</v>
      </c>
      <c r="F35" s="8" t="s">
        <v>938</v>
      </c>
      <c r="G35" s="8" t="s">
        <v>939</v>
      </c>
      <c r="H35" s="8" t="s">
        <v>947</v>
      </c>
      <c r="I35" s="8" t="s">
        <v>942</v>
      </c>
      <c r="J35" s="8" t="s">
        <v>948</v>
      </c>
      <c r="K35" s="8" t="s">
        <v>949</v>
      </c>
      <c r="L35" s="13" t="s">
        <v>950</v>
      </c>
      <c r="M35" s="13" t="s">
        <v>940</v>
      </c>
      <c r="N35" s="8" t="s">
        <v>941</v>
      </c>
      <c r="O35" s="36" t="s">
        <v>907</v>
      </c>
      <c r="P35" s="36" t="s">
        <v>1577</v>
      </c>
      <c r="Q35" s="16" t="s">
        <v>975</v>
      </c>
      <c r="R35" s="16" t="s">
        <v>957</v>
      </c>
    </row>
    <row r="36" spans="1:18" s="2" customFormat="1" ht="15" x14ac:dyDescent="0.25">
      <c r="A36" s="37">
        <v>43101</v>
      </c>
      <c r="B36" s="38">
        <v>43101</v>
      </c>
      <c r="C36" s="39">
        <f>MAX(0,MIN(EOMONTH(B36,0),Simulation!$G$12)-MAX(B36,Simulation!$G$11)+1)</f>
        <v>0</v>
      </c>
      <c r="D36" s="196" t="str">
        <f>IF(B134=2,IF(B32&gt;=28,"no","yes"),IF(OR(B134=4,B134=6,B134=9,B134=11),IF(B32&gt;=30,"No","yes"),IF(B32&gt;=31,"No","Yes")))</f>
        <v>yes</v>
      </c>
      <c r="E36" s="201">
        <f>IF(D36="yes",5,1)</f>
        <v>5</v>
      </c>
      <c r="F36" s="39">
        <f>Parameters!B21</f>
        <v>2.5375000000000001</v>
      </c>
      <c r="G36" s="40">
        <f t="shared" ref="G36:G67" si="0">DAY(EOMONTH(A36,0))</f>
        <v>31</v>
      </c>
      <c r="H36" s="198">
        <f>IF(Simulation!$G$12&gt;=$B$136,IF(Simulation!$G$12&gt;=$B$137,IF(Simulation!$G$12&gt;=$B$138,IF(Simulation!$G$12=$B$139,4,3),2),1),0)</f>
        <v>0</v>
      </c>
      <c r="I36" s="41">
        <f>IF(Simulation!$G$12&gt;=$B$136,IF(AND(YEAR(Simulation!$G$11)=YEAR(A36),MONTH(A36)=MONTH(Simulation!$G$11)),1,0),0)</f>
        <v>0</v>
      </c>
      <c r="J36" s="42">
        <f>IF($H$36=0,0,IF($H$36=1,SUM(I25:I36),IF($H$36=2,SUM(I16:I36),IF($H$36=3,SUM(I16:I36),IF($H$36=4,SUM(I16:I36),"more than 4 years")))))</f>
        <v>0</v>
      </c>
      <c r="K36" s="43" t="str">
        <f t="shared" ref="K36:K67" si="1">IF((M36+N36)&lt;&gt;C36,"issue","ok")</f>
        <v>ok</v>
      </c>
      <c r="L36" s="43">
        <f>IF(J36=1,IF(J37=0,IF(DAY(Simulation!$G$11)=1,0,DAY(Simulation!$G$11)-1),0),0)</f>
        <v>0</v>
      </c>
      <c r="M36" s="40">
        <f>IF(AND(J35=1,J36=1,J37=0,DAY(Simulation!$G$11)=1),0,IF(J36=1,IF(L36&lt;&gt;0,L36,C36),0))</f>
        <v>0</v>
      </c>
      <c r="N36" s="44">
        <f t="shared" ref="N36:N67" si="2">MAX(0,C36-M36)</f>
        <v>0</v>
      </c>
      <c r="O36" s="45">
        <f>IF($E$36=5,(($B$28*$B$12)/365)*$C36*$E$36*$F36*Simulation!$G$10,((($B$28*$B$12)/365)*$M36*Simulation!$G$10)+(($B$28*$B$12)/365)*$N36*$F36*Simulation!$G$10)</f>
        <v>0</v>
      </c>
      <c r="P36" s="46">
        <f>IF($E$36=5,(($B$29*$B$13)/365)*$C36*$E$36*$F36*Simulation!$G$10,((($B$29*$B$13)/365)*$M36*Simulation!$G$10)+(($B$29*$B$13)/365)*$N36*$F36*Simulation!$G$10)</f>
        <v>0</v>
      </c>
      <c r="Q36" s="79">
        <f>IF($E$36=5,($E$22/365)*$C36*$E$36*$F36*Simulation!$G$10,(($E$22/365)*$M36*Simulation!$G$10)+($E$22/365)*$N36*$F36*Simulation!$G$10)</f>
        <v>0</v>
      </c>
      <c r="R36" s="79">
        <f>IF($E$36=5,($E$23*$E$24/365)*$C36*$E$36*$F36*Simulation!$G$10,(($E$23*$E$24/365)*$M36*Simulation!$G$10)+($E$23*$E$24/365)*$N36*$F36*Simulation!$G$10)</f>
        <v>0</v>
      </c>
    </row>
    <row r="37" spans="1:18" s="2" customFormat="1" ht="15" x14ac:dyDescent="0.25">
      <c r="A37" s="37">
        <v>43132</v>
      </c>
      <c r="B37" s="38">
        <v>43132</v>
      </c>
      <c r="C37" s="39">
        <f>MAX(0,MIN(EOMONTH(B37,0),Simulation!$G$12)-MAX(B37,Simulation!$G$11)+1)</f>
        <v>0</v>
      </c>
      <c r="D37" s="197"/>
      <c r="E37" s="202"/>
      <c r="F37" s="39">
        <f>Parameters!B22</f>
        <v>2.2475000000000001</v>
      </c>
      <c r="G37" s="40">
        <f t="shared" si="0"/>
        <v>28</v>
      </c>
      <c r="H37" s="199"/>
      <c r="I37" s="41">
        <f>IF(Simulation!$G$12&gt;=$B$136,IF(AND(YEAR(Simulation!$G$11)=YEAR(A37),MONTH(A37)=MONTH(Simulation!$G$11)),1,0),0)</f>
        <v>0</v>
      </c>
      <c r="J37" s="42">
        <f>IF($H$36=0,0,IF($H$36=1,SUM(I26:I37),IF($H$36=2,SUM(I17:I37),IF($H$36=3,SUM(I16:I37),IF($H$36=4,SUM(I16:I37),"more than 4 years")))))</f>
        <v>0</v>
      </c>
      <c r="K37" s="43" t="str">
        <f t="shared" si="1"/>
        <v>ok</v>
      </c>
      <c r="L37" s="43">
        <f>IF(J37=1,IF(J38=0,IF(DAY(Simulation!$G$11)=1,0,DAY(Simulation!$G$11)-1),0),0)</f>
        <v>0</v>
      </c>
      <c r="M37" s="40">
        <f>IF(AND(J36=1,J37=1,J38=0,DAY(Simulation!$G$11)=1),0,IF(J37=1,IF(L37&lt;&gt;0,L37,C37),0))</f>
        <v>0</v>
      </c>
      <c r="N37" s="44">
        <f t="shared" si="2"/>
        <v>0</v>
      </c>
      <c r="O37" s="45">
        <f>IF($E$36=5,(($B$28*$B$12)/365)*$C37*$E$36*$F37*Simulation!$G$10,((($B$28*$B$12)/365)*$M37*Simulation!$G$10)+(($B$28*$B$12)/365)*$N37*$F37*Simulation!$G$10)</f>
        <v>0</v>
      </c>
      <c r="P37" s="46">
        <f>IF($E$36=5,(($B$29*$B$13)/365)*$C37*$E$36*$F37*Simulation!$G$10,((($B$29*$B$13)/365)*$M37*Simulation!$G$10)+(($B$29*$B$13)/365)*$N37*$F37*Simulation!$G$10)</f>
        <v>0</v>
      </c>
      <c r="Q37" s="79">
        <f>IF($E$36=5,($E$22/365)*$C37*$E$36*$F37*Simulation!$G$10,(($E$22/365)*$M37*Simulation!$G$10)+($E$22/365)*$N37*$F37*Simulation!$G$10)</f>
        <v>0</v>
      </c>
      <c r="R37" s="79">
        <f>IF($E$36=5,($E$23*$E$24/365)*$C37*$E$36*$F37*Simulation!$G$10,(($E$23*$E$24/365)*$M37*Simulation!$G$10)+($E$23*$E$24/365)*$N37*$F37*Simulation!$G$10)</f>
        <v>0</v>
      </c>
    </row>
    <row r="38" spans="1:18" s="2" customFormat="1" ht="15" x14ac:dyDescent="0.25">
      <c r="A38" s="37">
        <v>43160</v>
      </c>
      <c r="B38" s="38">
        <v>43160</v>
      </c>
      <c r="C38" s="39">
        <f>MAX(0,MIN(EOMONTH(B38,0),Simulation!$G$12)-MAX(B38,Simulation!$G$11)+1)</f>
        <v>0</v>
      </c>
      <c r="D38" s="197"/>
      <c r="E38" s="202"/>
      <c r="F38" s="39">
        <f>Parameters!B23</f>
        <v>1.885</v>
      </c>
      <c r="G38" s="40">
        <f t="shared" si="0"/>
        <v>31</v>
      </c>
      <c r="H38" s="199"/>
      <c r="I38" s="41">
        <f>IF(Simulation!$G$12&gt;=$B$136,IF(AND(YEAR(Simulation!$G$11)=YEAR(A38),MONTH(A38)=MONTH(Simulation!$G$11)),1,0),0)</f>
        <v>0</v>
      </c>
      <c r="J38" s="42">
        <f>IF($H$36=0,0,IF($H$36=1,SUM(I27:I38),IF($H$36=2,SUM(I17:I38),IF($H$36=3,SUM(I16:I38),IF($H$36=4,SUM(I16:I38),"more than 4 years")))))</f>
        <v>0</v>
      </c>
      <c r="K38" s="43" t="str">
        <f t="shared" si="1"/>
        <v>ok</v>
      </c>
      <c r="L38" s="43">
        <f>IF(J38=1,IF(J39=0,IF(DAY(Simulation!$G$11)=1,0,DAY(Simulation!$G$11)-1),0),0)</f>
        <v>0</v>
      </c>
      <c r="M38" s="40">
        <f>IF(AND(J37=1,J38=1,J39=0,DAY(Simulation!$G$11)=1),0,IF(J38=1,IF(L38&lt;&gt;0,L38,C38),0))</f>
        <v>0</v>
      </c>
      <c r="N38" s="44">
        <f t="shared" si="2"/>
        <v>0</v>
      </c>
      <c r="O38" s="45">
        <f>IF($E$36=5,(($B$28*$B$12)/365)*$C38*$E$36*$F38*Simulation!$G$10,((($B$28*$B$12)/365)*$M38*Simulation!$G$10)+(($B$28*$B$12)/365)*$N38*$F38*Simulation!$G$10)</f>
        <v>0</v>
      </c>
      <c r="P38" s="46">
        <f>IF($E$36=5,(($B$29*$B$13)/365)*$C38*$E$36*$F38*Simulation!$G$10,((($B$29*$B$13)/365)*$M38*Simulation!$G$10)+(($B$29*$B$13)/365)*$N38*$F38*Simulation!$G$10)</f>
        <v>0</v>
      </c>
      <c r="Q38" s="79">
        <f>IF($E$36=5,($E$22/365)*$C38*$E$36*$F38*Simulation!$G$10,(($E$22/365)*$M38*Simulation!$G$10)+($E$22/365)*$N38*$F38*Simulation!$G$10)</f>
        <v>0</v>
      </c>
      <c r="R38" s="79">
        <f>IF($E$36=5,($E$23*$E$24/365)*$C38*$E$36*$F38*Simulation!$G$10,(($E$23*$E$24/365)*$M38*Simulation!$G$10)+($E$23*$E$24/365)*$N38*$F38*Simulation!$G$10)</f>
        <v>0</v>
      </c>
    </row>
    <row r="39" spans="1:18" s="2" customFormat="1" ht="15" x14ac:dyDescent="0.25">
      <c r="A39" s="37">
        <v>43191</v>
      </c>
      <c r="B39" s="38">
        <v>43191</v>
      </c>
      <c r="C39" s="39">
        <f>MAX(0,MIN(EOMONTH(B39,0),Simulation!$G$12)-MAX(B39,Simulation!$G$11)+1)</f>
        <v>0</v>
      </c>
      <c r="D39" s="197"/>
      <c r="E39" s="202"/>
      <c r="F39" s="39">
        <f>Parameters!B24</f>
        <v>1.3774999999999999</v>
      </c>
      <c r="G39" s="40">
        <f t="shared" si="0"/>
        <v>30</v>
      </c>
      <c r="H39" s="199"/>
      <c r="I39" s="41">
        <f>IF(Simulation!$G$12&gt;=$B$136,IF(AND(YEAR(Simulation!$G$11)=YEAR(A39),MONTH(A39)=MONTH(Simulation!$G$11)),1,0),0)</f>
        <v>0</v>
      </c>
      <c r="J39" s="42">
        <f>IF($H$36=0,0,IF($H$36=1,SUM(I28:I39),IF($H$36=2,SUM(I17:I39),IF($H$36=3,SUM(I16:I39),IF($H$36=4,SUM(I16:I39),"more than 4 years")))))</f>
        <v>0</v>
      </c>
      <c r="K39" s="43" t="str">
        <f t="shared" si="1"/>
        <v>ok</v>
      </c>
      <c r="L39" s="43">
        <f>IF(J39=1,IF(J40=0,IF(DAY(Simulation!$G$11)=1,0,DAY(Simulation!$G$11)-1),0),0)</f>
        <v>0</v>
      </c>
      <c r="M39" s="40">
        <f>IF(AND(J38=1,J39=1,J40=0,DAY(Simulation!$G$11)=1),0,IF(J39=1,IF(L39&lt;&gt;0,L39,C39),0))</f>
        <v>0</v>
      </c>
      <c r="N39" s="44">
        <f t="shared" si="2"/>
        <v>0</v>
      </c>
      <c r="O39" s="45">
        <f>IF($E$36=5,(($B$28*$B$12)/365)*$C39*$E$36*$F39*Simulation!$G$10,((($B$28*$B$12)/365)*$M39*Simulation!$G$10)+(($B$28*$B$12)/365)*$N39*$F39*Simulation!$G$10)</f>
        <v>0</v>
      </c>
      <c r="P39" s="46">
        <f>IF($E$36=5,(($B$29*$B$13)/365)*$C39*$E$36*$F39*Simulation!$G$10,((($B$29*$B$13)/365)*$M39*Simulation!$G$10)+(($B$29*$B$13)/365)*$N39*$F39*Simulation!$G$10)</f>
        <v>0</v>
      </c>
      <c r="Q39" s="79">
        <f>IF($E$36=5,($E$22/365)*$C39*$E$36*$F39*Simulation!$G$10,(($E$22/365)*$M39*Simulation!$G$10)+($E$22/365)*$N39*$F39*Simulation!$G$10)</f>
        <v>0</v>
      </c>
      <c r="R39" s="79">
        <f>IF($E$36=5,($E$23*$E$24/365)*$C39*$E$36*$F39*Simulation!$G$10,(($E$23*$E$24/365)*$M39*Simulation!$G$10)+($E$23*$E$24/365)*$N39*$F39*Simulation!$G$10)</f>
        <v>0</v>
      </c>
    </row>
    <row r="40" spans="1:18" s="2" customFormat="1" ht="15" x14ac:dyDescent="0.25">
      <c r="A40" s="37">
        <v>43221</v>
      </c>
      <c r="B40" s="38">
        <v>43221</v>
      </c>
      <c r="C40" s="39">
        <f>MAX(0,MIN(EOMONTH(B40,0),Simulation!$G$12)-MAX(B40,Simulation!$G$11)+1)</f>
        <v>0</v>
      </c>
      <c r="D40" s="197"/>
      <c r="E40" s="202"/>
      <c r="F40" s="39">
        <f>Parameters!B25</f>
        <v>0.9425</v>
      </c>
      <c r="G40" s="40">
        <f t="shared" si="0"/>
        <v>31</v>
      </c>
      <c r="H40" s="199"/>
      <c r="I40" s="41">
        <f>IF(Simulation!$G$12&gt;=$B$136,IF(AND(YEAR(Simulation!$G$11)=YEAR(A40),MONTH(A40)=MONTH(Simulation!$G$11)),1,0),0)</f>
        <v>0</v>
      </c>
      <c r="J40" s="42">
        <f>IF($H$36=0,0,IF($H$36=1,SUM(I30:I40),IF($H$36=2,SUM(I18:I40),IF($H$36=3,SUM(I16:I40),IF($H$36=4,SUM(I16:I40),"more than 4 years")))))</f>
        <v>0</v>
      </c>
      <c r="K40" s="43" t="str">
        <f t="shared" si="1"/>
        <v>ok</v>
      </c>
      <c r="L40" s="43">
        <f>IF(J40=1,IF(J41=0,IF(DAY(Simulation!$G$11)=1,0,DAY(Simulation!$G$11)-1),0),0)</f>
        <v>0</v>
      </c>
      <c r="M40" s="40">
        <f>IF(AND(J39=1,J40=1,J41=0,DAY(Simulation!$G$11)=1),0,IF(J40=1,IF(L40&lt;&gt;0,L40,C40),0))</f>
        <v>0</v>
      </c>
      <c r="N40" s="44">
        <f t="shared" si="2"/>
        <v>0</v>
      </c>
      <c r="O40" s="45">
        <f>IF($E$36=5,(($B$28*$B$12)/365)*$C40*$E$36*$F40*Simulation!$G$10,((($B$28*$B$12)/365)*$M40*Simulation!$G$10)+(($B$28*$B$12)/365)*$N40*$F40*Simulation!$G$10)</f>
        <v>0</v>
      </c>
      <c r="P40" s="46">
        <f>IF($E$36=5,(($B$29*$B$13)/365)*$C40*$E$36*$F40*Simulation!$G$10,((($B$29*$B$13)/365)*$M40*Simulation!$G$10)+(($B$29*$B$13)/365)*$N40*$F40*Simulation!$G$10)</f>
        <v>0</v>
      </c>
      <c r="Q40" s="79">
        <f>IF($E$36=5,($E$22/365)*$C40*$E$36*$F40*Simulation!$G$10,(($E$22/365)*$M40*Simulation!$G$10)+($E$22/365)*$N40*$F40*Simulation!$G$10)</f>
        <v>0</v>
      </c>
      <c r="R40" s="79">
        <f>IF($E$36=5,($E$23*$E$24/365)*$C40*$E$36*$F40*Simulation!$G$10,(($E$23*$E$24/365)*$M40*Simulation!$G$10)+($E$23*$E$24/365)*$N40*$F40*Simulation!$G$10)</f>
        <v>0</v>
      </c>
    </row>
    <row r="41" spans="1:18" s="2" customFormat="1" ht="15" x14ac:dyDescent="0.25">
      <c r="A41" s="37">
        <v>43252</v>
      </c>
      <c r="B41" s="38">
        <v>43252</v>
      </c>
      <c r="C41" s="39">
        <f>MAX(0,MIN(EOMONTH(B41,0),Simulation!$G$12)-MAX(B41,Simulation!$G$11)+1)</f>
        <v>0</v>
      </c>
      <c r="D41" s="197"/>
      <c r="E41" s="202"/>
      <c r="F41" s="39">
        <f>Parameters!B26</f>
        <v>0.72499999999999998</v>
      </c>
      <c r="G41" s="40">
        <f t="shared" si="0"/>
        <v>30</v>
      </c>
      <c r="H41" s="199"/>
      <c r="I41" s="41">
        <f>IF(Simulation!$G$12&gt;=$B$136,IF(AND(YEAR(Simulation!$G$11)=YEAR(A41),MONTH(A41)=MONTH(Simulation!$G$11)),1,0),0)</f>
        <v>0</v>
      </c>
      <c r="J41" s="42">
        <f>IF($H$36=0,0,IF($H$36=1,SUM(I30:I41),IF($H$36=2,SUM(I19:I41),IF($H$36=3,SUM(I16:I41),IF($H$36=4,SUM(I16:I41),"more than 4 years")))))</f>
        <v>0</v>
      </c>
      <c r="K41" s="43" t="str">
        <f t="shared" si="1"/>
        <v>ok</v>
      </c>
      <c r="L41" s="43">
        <f>IF(J41=1,IF(J42=0,IF(DAY(Simulation!$G$11)=1,0,DAY(Simulation!$G$11)-1),0),0)</f>
        <v>0</v>
      </c>
      <c r="M41" s="40">
        <f>IF(AND(J40=1,J41=1,J42=0,DAY(Simulation!$G$11)=1),0,IF(J41=1,IF(L41&lt;&gt;0,L41,C41),0))</f>
        <v>0</v>
      </c>
      <c r="N41" s="44">
        <f t="shared" si="2"/>
        <v>0</v>
      </c>
      <c r="O41" s="45">
        <f>IF($E$36=5,(($B$28*$B$12)/365)*$C41*$E$36*$F41*Simulation!$G$10,((($B$28*$B$12)/365)*$M41*Simulation!$G$10)+(($B$28*$B$12)/365)*$N41*$F41*Simulation!$G$10)</f>
        <v>0</v>
      </c>
      <c r="P41" s="46">
        <f>IF($E$36=5,(($B$29*$B$13)/365)*$C41*$E$36*$F41*Simulation!$G$10,((($B$29*$B$13)/365)*$M41*Simulation!$G$10)+(($B$29*$B$13)/365)*$N41*$F41*Simulation!$G$10)</f>
        <v>0</v>
      </c>
      <c r="Q41" s="79">
        <f>IF($E$36=5,($E$22/365)*$C41*$E$36*$F41*Simulation!$G$10,(($E$22/365)*$M41*Simulation!$G$10)+($E$22/365)*$N41*$F41*Simulation!$G$10)</f>
        <v>0</v>
      </c>
      <c r="R41" s="79">
        <f>IF($E$36=5,($E$23*$E$24/365)*$C41*$E$36*$F41*Simulation!$G$10,(($E$23*$E$24/365)*$M41*Simulation!$G$10)+($E$23*$E$24/365)*$N41*$F41*Simulation!$G$10)</f>
        <v>0</v>
      </c>
    </row>
    <row r="42" spans="1:18" s="2" customFormat="1" ht="15" x14ac:dyDescent="0.25">
      <c r="A42" s="37">
        <v>43282</v>
      </c>
      <c r="B42" s="38">
        <v>43282</v>
      </c>
      <c r="C42" s="39">
        <f>MAX(0,MIN(EOMONTH(B42,0),Simulation!$G$12)-MAX(B42,Simulation!$G$11)+1)</f>
        <v>0</v>
      </c>
      <c r="D42" s="197"/>
      <c r="E42" s="202"/>
      <c r="F42" s="39">
        <f>Parameters!B27</f>
        <v>0.72499999999999998</v>
      </c>
      <c r="G42" s="40">
        <f t="shared" si="0"/>
        <v>31</v>
      </c>
      <c r="H42" s="199"/>
      <c r="I42" s="41">
        <f>IF(Simulation!$G$12&gt;=$B$136,IF(AND(YEAR(Simulation!$G$11)=YEAR(A42),MONTH(A42)=MONTH(Simulation!$G$11)),1,0),0)</f>
        <v>0</v>
      </c>
      <c r="J42" s="42">
        <f>IF($H$36=0,0,IF($H$36=1,SUM(I30:I42),IF($H$36=2,SUM(I20:I42),IF($H$36=3,SUM(I16:I42),IF($H$36=4,SUM(I16:I42),"more than 4 years")))))</f>
        <v>0</v>
      </c>
      <c r="K42" s="43" t="str">
        <f t="shared" si="1"/>
        <v>ok</v>
      </c>
      <c r="L42" s="43">
        <f>IF(J42=1,IF(J43=0,IF(DAY(Simulation!$G$11)=1,0,DAY(Simulation!$G$11)-1),0),0)</f>
        <v>0</v>
      </c>
      <c r="M42" s="40">
        <f>IF(AND(J41=1,J42=1,J43=0,DAY(Simulation!$G$11)=1),0,IF(J42=1,IF(L42&lt;&gt;0,L42,C42),0))</f>
        <v>0</v>
      </c>
      <c r="N42" s="44">
        <f t="shared" si="2"/>
        <v>0</v>
      </c>
      <c r="O42" s="45">
        <f>IF($E$36=5,(($B$28*$B$12)/365)*$C42*$E$36*$F42*Simulation!$G$10,((($B$28*$B$12)/365)*$M42*Simulation!$G$10)+(($B$28*$B$12)/365)*$N42*$F42*Simulation!$G$10)</f>
        <v>0</v>
      </c>
      <c r="P42" s="46">
        <f>IF($E$36=5,(($B$29*$B$13)/365)*$C42*$E$36*$F42*Simulation!$G$10,((($B$29*$B$13)/365)*$M42*Simulation!$G$10)+(($B$29*$B$13)/365)*$N42*$F42*Simulation!$G$10)</f>
        <v>0</v>
      </c>
      <c r="Q42" s="79">
        <f>IF($E$36=5,($E$22/365)*$C42*$E$36*$F42*Simulation!$G$10,(($E$22/365)*$M42*Simulation!$G$10)+($E$22/365)*$N42*$F42*Simulation!$G$10)</f>
        <v>0</v>
      </c>
      <c r="R42" s="79">
        <f>IF($E$36=5,($E$23*$E$24/365)*$C42*$E$36*$F42*Simulation!$G$10,(($E$23*$E$24/365)*$M42*Simulation!$G$10)+($E$23*$E$24/365)*$N42*$F42*Simulation!$G$10)</f>
        <v>0</v>
      </c>
    </row>
    <row r="43" spans="1:18" s="2" customFormat="1" ht="15" x14ac:dyDescent="0.25">
      <c r="A43" s="37">
        <v>43313</v>
      </c>
      <c r="B43" s="38">
        <v>43313</v>
      </c>
      <c r="C43" s="39">
        <f>MAX(0,MIN(EOMONTH(B43,0),Simulation!$G$12)-MAX(B43,Simulation!$G$11)+1)</f>
        <v>0</v>
      </c>
      <c r="D43" s="197"/>
      <c r="E43" s="202"/>
      <c r="F43" s="39">
        <f>Parameters!B28</f>
        <v>0.72499999999999998</v>
      </c>
      <c r="G43" s="40">
        <f t="shared" si="0"/>
        <v>31</v>
      </c>
      <c r="H43" s="199"/>
      <c r="I43" s="41">
        <f>IF(Simulation!$G$12&gt;=$B$136,IF(AND(YEAR(Simulation!$G$11)=YEAR(A43),MONTH(A43)=MONTH(Simulation!$G$11)),1,0),0)</f>
        <v>0</v>
      </c>
      <c r="J43" s="42">
        <f>IF($H$36=0,0,IF($H$36=1,SUM(I31:I43),IF($H$36=2,SUM(I21:I43),IF($H$36=3,SUM(I16:I43),IF($H$36=4,SUM(I16:I43),"more than 4 years")))))</f>
        <v>0</v>
      </c>
      <c r="K43" s="43" t="str">
        <f t="shared" si="1"/>
        <v>ok</v>
      </c>
      <c r="L43" s="43">
        <f>IF(J43=1,IF(J44=0,IF(DAY(Simulation!$G$11)=1,0,DAY(Simulation!$G$11)-1),0),0)</f>
        <v>0</v>
      </c>
      <c r="M43" s="40">
        <f>IF(AND(J42=1,J43=1,J44=0,DAY(Simulation!$G$11)=1),0,IF(J43=1,IF(L43&lt;&gt;0,L43,C43),0))</f>
        <v>0</v>
      </c>
      <c r="N43" s="44">
        <f t="shared" si="2"/>
        <v>0</v>
      </c>
      <c r="O43" s="45">
        <f>IF($E$36=5,(($B$28*$B$12)/365)*$C43*$E$36*$F43*Simulation!$G$10,((($B$28*$B$12)/365)*$M43*Simulation!$G$10)+(($B$28*$B$12)/365)*$N43*$F43*Simulation!$G$10)</f>
        <v>0</v>
      </c>
      <c r="P43" s="46">
        <f>IF($E$36=5,(($B$29*$B$13)/365)*$C43*$E$36*$F43*Simulation!$G$10,((($B$29*$B$13)/365)*$M43*Simulation!$G$10)+(($B$29*$B$13)/365)*$N43*$F43*Simulation!$G$10)</f>
        <v>0</v>
      </c>
      <c r="Q43" s="79">
        <f>IF($E$36=5,($E$22/365)*$C43*$E$36*$F43*Simulation!$G$10,(($E$22/365)*$M43*Simulation!$G$10)+($E$22/365)*$N43*$F43*Simulation!$G$10)</f>
        <v>0</v>
      </c>
      <c r="R43" s="79">
        <f>IF($E$36=5,($E$23*$E$24/365)*$C43*$E$36*$F43*Simulation!$G$10,(($E$23*$E$24/365)*$M43*Simulation!$G$10)+($E$23*$E$24/365)*$N43*$F43*Simulation!$G$10)</f>
        <v>0</v>
      </c>
    </row>
    <row r="44" spans="1:18" s="2" customFormat="1" ht="15" x14ac:dyDescent="0.25">
      <c r="A44" s="37">
        <v>43344</v>
      </c>
      <c r="B44" s="38">
        <v>43344</v>
      </c>
      <c r="C44" s="39">
        <f>MAX(0,MIN(EOMONTH(B44,0),Simulation!$G$12)-MAX(B44,Simulation!$G$11)+1)</f>
        <v>0</v>
      </c>
      <c r="D44" s="197"/>
      <c r="E44" s="202"/>
      <c r="F44" s="39">
        <f>Parameters!B29</f>
        <v>0.9425</v>
      </c>
      <c r="G44" s="40">
        <f t="shared" si="0"/>
        <v>30</v>
      </c>
      <c r="H44" s="199"/>
      <c r="I44" s="41">
        <f>IF(Simulation!$G$12&gt;=$B$136,IF(AND(YEAR(Simulation!$G$11)=YEAR(A44),MONTH(A44)=MONTH(Simulation!$G$11)),1,0),0)</f>
        <v>0</v>
      </c>
      <c r="J44" s="42">
        <f>IF($H$36=0,0,IF($H$36=1,SUM(I32:I44),IF($H$36=2,SUM(I22:I44),IF($H$36=3,SUM(I16:I44),IF($H$36=4,SUM(I16:I44),"more than 4 years")))))</f>
        <v>0</v>
      </c>
      <c r="K44" s="43" t="str">
        <f t="shared" si="1"/>
        <v>ok</v>
      </c>
      <c r="L44" s="43">
        <f>IF(J44=1,IF(J45=0,IF(DAY(Simulation!$G$11)=1,0,DAY(Simulation!$G$11)-1),0),0)</f>
        <v>0</v>
      </c>
      <c r="M44" s="40">
        <f>IF(AND(J43=1,J44=1,J45=0,DAY(Simulation!$G$11)=1),0,IF(J44=1,IF(L44&lt;&gt;0,L44,C44),0))</f>
        <v>0</v>
      </c>
      <c r="N44" s="44">
        <f t="shared" si="2"/>
        <v>0</v>
      </c>
      <c r="O44" s="45">
        <f>IF($E$36=5,(($B$28*$B$12)/365)*$C44*$E$36*$F44*Simulation!$G$10,((($B$28*$B$12)/365)*$M44*Simulation!$G$10)+(($B$28*$B$12)/365)*$N44*$F44*Simulation!$G$10)</f>
        <v>0</v>
      </c>
      <c r="P44" s="46">
        <f>IF($E$36=5,(($B$29*$B$13)/365)*$C44*$E$36*$F44*Simulation!$G$10,((($B$29*$B$13)/365)*$M44*Simulation!$G$10)+(($B$29*$B$13)/365)*$N44*$F44*Simulation!$G$10)</f>
        <v>0</v>
      </c>
      <c r="Q44" s="79">
        <f>IF($E$36=5,($E$22/365)*$C44*$E$36*$F44*Simulation!$G$10,(($E$22/365)*$M44*Simulation!$G$10)+($E$22/365)*$N44*$F44*Simulation!$G$10)</f>
        <v>0</v>
      </c>
      <c r="R44" s="79">
        <f>IF($E$36=5,($E$23*$E$24/365)*$C44*$E$36*$F44*Simulation!$G$10,(($E$23*$E$24/365)*$M44*Simulation!$G$10)+($E$23*$E$24/365)*$N44*$F44*Simulation!$G$10)</f>
        <v>0</v>
      </c>
    </row>
    <row r="45" spans="1:18" s="2" customFormat="1" ht="15" x14ac:dyDescent="0.25">
      <c r="A45" s="37">
        <v>43374</v>
      </c>
      <c r="B45" s="38">
        <v>43374</v>
      </c>
      <c r="C45" s="39">
        <f>MAX(0,MIN(EOMONTH(B45,0),Simulation!$G$12)-MAX(B45,Simulation!$G$11)+1)</f>
        <v>0</v>
      </c>
      <c r="D45" s="197"/>
      <c r="E45" s="202"/>
      <c r="F45" s="39">
        <f>Parameters!B30</f>
        <v>1.5225</v>
      </c>
      <c r="G45" s="40">
        <f t="shared" si="0"/>
        <v>31</v>
      </c>
      <c r="H45" s="199"/>
      <c r="I45" s="41">
        <f>IF(Simulation!$G$12&gt;=$B$136,IF(AND(YEAR(Simulation!$G$11)=YEAR(A45),MONTH(A45)=MONTH(Simulation!$G$11)),1,0),0)</f>
        <v>0</v>
      </c>
      <c r="J45" s="42">
        <f>IF($H$36=0,0,IF($H$36=1,SUM(I33:I45),IF($H$36=2,SUM(I23:I45),IF($H$36=3,SUM(I16:I45),IF($H$36=4,SUM(I16:I45),"more than 4 years")))))</f>
        <v>0</v>
      </c>
      <c r="K45" s="43" t="str">
        <f t="shared" si="1"/>
        <v>ok</v>
      </c>
      <c r="L45" s="43">
        <f>IF(J45=1,IF(J46=0,IF(DAY(Simulation!$G$11)=1,0,DAY(Simulation!$G$11)-1),0),0)</f>
        <v>0</v>
      </c>
      <c r="M45" s="40">
        <f>IF(AND(J44=1,J45=1,J46=0,DAY(Simulation!$G$11)=1),0,IF(J45=1,IF(L45&lt;&gt;0,L45,C45),0))</f>
        <v>0</v>
      </c>
      <c r="N45" s="44">
        <f t="shared" si="2"/>
        <v>0</v>
      </c>
      <c r="O45" s="45">
        <f>IF($E$36=5,(($B$28*$B$12)/365)*$C45*$E$36*$F45*Simulation!$G$10,((($B$28*$B$12)/365)*$M45*Simulation!$G$10)+(($B$28*$B$12)/365)*$N45*$F45*Simulation!$G$10)</f>
        <v>0</v>
      </c>
      <c r="P45" s="46">
        <f>IF($E$36=5,(($B$29*$B$13)/365)*$C45*$E$36*$F45*Simulation!$G$10,((($B$29*$B$13)/365)*$M45*Simulation!$G$10)+(($B$29*$B$13)/365)*$N45*$F45*Simulation!$G$10)</f>
        <v>0</v>
      </c>
      <c r="Q45" s="79">
        <f>IF($E$36=5,($E$22/365)*$C45*$E$36*$F45*Simulation!$G$10,(($E$22/365)*$M45*Simulation!$G$10)+($E$22/365)*$N45*$F45*Simulation!$G$10)</f>
        <v>0</v>
      </c>
      <c r="R45" s="79">
        <f>IF($E$36=5,($E$23*$E$24/365)*$C45*$E$36*$F45*Simulation!$G$10,(($E$23*$E$24/365)*$M45*Simulation!$G$10)+($E$23*$E$24/365)*$N45*$F45*Simulation!$G$10)</f>
        <v>0</v>
      </c>
    </row>
    <row r="46" spans="1:18" s="2" customFormat="1" ht="15" x14ac:dyDescent="0.25">
      <c r="A46" s="37">
        <v>43405</v>
      </c>
      <c r="B46" s="38">
        <v>43405</v>
      </c>
      <c r="C46" s="39">
        <f>MAX(0,MIN(EOMONTH(B46,0),Simulation!$G$12)-MAX(B46,Simulation!$G$11)+1)</f>
        <v>0</v>
      </c>
      <c r="D46" s="197"/>
      <c r="E46" s="202"/>
      <c r="F46" s="39">
        <f>Parameters!B31</f>
        <v>2.0299999999999998</v>
      </c>
      <c r="G46" s="40">
        <f t="shared" si="0"/>
        <v>30</v>
      </c>
      <c r="H46" s="199"/>
      <c r="I46" s="41">
        <f>IF(Simulation!$G$12&gt;=$B$136,IF(AND(YEAR(Simulation!$G$11)=YEAR(A46),MONTH(A46)=MONTH(Simulation!$G$11)),1,0),0)</f>
        <v>0</v>
      </c>
      <c r="J46" s="42">
        <f>IF($H$36=0,0,IF($H$36=1,SUM(I34:I46),IF($H$36=2,SUM(I23:I46),IF($H$36=3,SUM(I16:I46),IF($H$36=4,SUM(I16:I46),"more than 4 years")))))</f>
        <v>0</v>
      </c>
      <c r="K46" s="43" t="str">
        <f t="shared" si="1"/>
        <v>ok</v>
      </c>
      <c r="L46" s="43">
        <f>IF(J46=1,IF(J47=0,IF(DAY(Simulation!$G$11)=1,0,DAY(Simulation!$G$11)-1),0),0)</f>
        <v>0</v>
      </c>
      <c r="M46" s="40">
        <f>IF(AND(J45=1,J46=1,J47=0,DAY(Simulation!$G$11)=1),0,IF(J46=1,IF(L46&lt;&gt;0,L46,C46),0))</f>
        <v>0</v>
      </c>
      <c r="N46" s="44">
        <f t="shared" si="2"/>
        <v>0</v>
      </c>
      <c r="O46" s="45">
        <f>IF($E$36=5,(($B$28*$B$12)/365)*$C46*$E$36*$F46*Simulation!$G$10,((($B$28*$B$12)/365)*$M46*Simulation!$G$10)+(($B$28*$B$12)/365)*$N46*$F46*Simulation!$G$10)</f>
        <v>0</v>
      </c>
      <c r="P46" s="46">
        <f>IF($E$36=5,(($B$29*$B$13)/365)*$C46*$E$36*$F46*Simulation!$G$10,((($B$29*$B$13)/365)*$M46*Simulation!$G$10)+(($B$29*$B$13)/365)*$N46*$F46*Simulation!$G$10)</f>
        <v>0</v>
      </c>
      <c r="Q46" s="79">
        <f>IF($E$36=5,($E$22/365)*$C46*$E$36*$F46*Simulation!$G$10,(($E$22/365)*$M46*Simulation!$G$10)+($E$22/365)*$N46*$F46*Simulation!$G$10)</f>
        <v>0</v>
      </c>
      <c r="R46" s="79">
        <f>IF($E$36=5,($E$23*$E$24/365)*$C46*$E$36*$F46*Simulation!$G$10,(($E$23*$E$24/365)*$M46*Simulation!$G$10)+($E$23*$E$24/365)*$N46*$F46*Simulation!$G$10)</f>
        <v>0</v>
      </c>
    </row>
    <row r="47" spans="1:18" s="2" customFormat="1" ht="15" x14ac:dyDescent="0.25">
      <c r="A47" s="37">
        <v>43435</v>
      </c>
      <c r="B47" s="38">
        <v>43435</v>
      </c>
      <c r="C47" s="39">
        <f>MAX(0,MIN(EOMONTH(B47,0),Simulation!$G$12)-MAX(B47,Simulation!$G$11)+1)</f>
        <v>0</v>
      </c>
      <c r="D47" s="197"/>
      <c r="E47" s="202"/>
      <c r="F47" s="39">
        <f>Parameters!B32</f>
        <v>2.3199999999999998</v>
      </c>
      <c r="G47" s="40">
        <f t="shared" si="0"/>
        <v>31</v>
      </c>
      <c r="H47" s="199"/>
      <c r="I47" s="41">
        <f>IF(Simulation!$G$12&gt;=$B$136,IF(AND(YEAR(Simulation!$G$11)=YEAR(A47),MONTH(A47)=MONTH(Simulation!$G$11)),1,0),0)</f>
        <v>0</v>
      </c>
      <c r="J47" s="42">
        <f>IF($H$36=0,0,IF($H$36=1,SUM(I35:I47),IF($H$36=2,SUM(I24:I47),IF($H$36=3,SUM(I16:I47),IF($H$36=4,SUM(I16:I47),"more than 4 years")))))</f>
        <v>0</v>
      </c>
      <c r="K47" s="43" t="str">
        <f t="shared" si="1"/>
        <v>ok</v>
      </c>
      <c r="L47" s="43">
        <f>IF(J47=1,IF(J48=0,IF(DAY(Simulation!$G$11)=1,0,DAY(Simulation!$G$11)-1),0),0)</f>
        <v>0</v>
      </c>
      <c r="M47" s="40">
        <f>IF(AND(J46=1,J47=1,J48=0,DAY(Simulation!$G$11)=1),0,IF(J47=1,IF(L47&lt;&gt;0,L47,C47),0))</f>
        <v>0</v>
      </c>
      <c r="N47" s="44">
        <f t="shared" si="2"/>
        <v>0</v>
      </c>
      <c r="O47" s="45">
        <f>IF($E$36=5,(($B$28*$B$12)/365)*$C47*$E$36*$F47*Simulation!$G$10,((($B$28*$B$12)/365)*$M47*Simulation!$G$10)+(($B$28*$B$12)/365)*$N47*$F47*Simulation!$G$10)</f>
        <v>0</v>
      </c>
      <c r="P47" s="46">
        <f>IF($E$36=5,(($B$29*$B$13)/365)*$C47*$E$36*$F47*Simulation!$G$10,((($B$29*$B$13)/365)*$M47*Simulation!$G$10)+(($B$29*$B$13)/365)*$N47*$F47*Simulation!$G$10)</f>
        <v>0</v>
      </c>
      <c r="Q47" s="79">
        <f>IF($E$36=5,($E$22/365)*$C47*$E$36*$F47*Simulation!$G$10,(($E$22/365)*$M47*Simulation!$G$10)+($E$22/365)*$N47*$F47*Simulation!$G$10)</f>
        <v>0</v>
      </c>
      <c r="R47" s="79">
        <f>IF($E$36=5,($E$23*$E$24/365)*$C47*$E$36*$F47*Simulation!$G$10,(($E$23*$E$24/365)*$M47*Simulation!$G$10)+($E$23*$E$24/365)*$N47*$F47*Simulation!$G$10)</f>
        <v>0</v>
      </c>
    </row>
    <row r="48" spans="1:18" s="2" customFormat="1" ht="15" x14ac:dyDescent="0.25">
      <c r="A48" s="37">
        <v>43466</v>
      </c>
      <c r="B48" s="38">
        <v>43466</v>
      </c>
      <c r="C48" s="39">
        <f>MAX(0,MIN(EOMONTH(B48,0),Simulation!$G$12)-MAX(B48,Simulation!$G$11)+1)</f>
        <v>0</v>
      </c>
      <c r="D48" s="197"/>
      <c r="E48" s="202"/>
      <c r="F48" s="39">
        <f>Parameters!B21</f>
        <v>2.5375000000000001</v>
      </c>
      <c r="G48" s="40">
        <f t="shared" si="0"/>
        <v>31</v>
      </c>
      <c r="H48" s="199"/>
      <c r="I48" s="41">
        <f>IF(Simulation!$G$12&gt;=$B$136,IF(AND(YEAR(Simulation!$G$11)=YEAR(A48),MONTH(A48)=MONTH(Simulation!$G$11)),1,0),0)</f>
        <v>0</v>
      </c>
      <c r="J48" s="42">
        <f>IF($H$36=0,0,IF($H$36=1,SUM(I36:I48),IF($H$36=2,SUM(I25:I48),IF($H$36=3,SUM(I16:I48),IF($H$36=4,SUM(I16:I48),"more than 4 years")))))</f>
        <v>0</v>
      </c>
      <c r="K48" s="43" t="str">
        <f t="shared" si="1"/>
        <v>ok</v>
      </c>
      <c r="L48" s="43">
        <f>IF(J48=1,IF(J49=0,IF(DAY(Simulation!$G$11)=1,0,DAY(Simulation!$G$11)-1),0),0)</f>
        <v>0</v>
      </c>
      <c r="M48" s="40">
        <f>IF(AND(J47=1,J48=1,J49=0,DAY(Simulation!$G$11)=1),0,IF(J48=1,IF(L48&lt;&gt;0,L48,C48),0))</f>
        <v>0</v>
      </c>
      <c r="N48" s="44">
        <f t="shared" si="2"/>
        <v>0</v>
      </c>
      <c r="O48" s="45">
        <f>IF($E$36=5,(($B$28*$B$12)/365)*$C48*$E$36*$F48*Simulation!$G$10,((($B$28*$B$12)/365)*$M48*Simulation!$G$10)+(($B$28*$B$12)/365)*$N48*$F48*Simulation!$G$10)</f>
        <v>0</v>
      </c>
      <c r="P48" s="46">
        <f>IF($E$36=5,(($B$29*$B$13)/365)*$C48*$E$36*$F48*Simulation!$G$10,((($B$29*$B$13)/365)*$M48*Simulation!$G$10)+(($B$29*$B$13)/365)*$N48*$F48*Simulation!$G$10)</f>
        <v>0</v>
      </c>
      <c r="Q48" s="79">
        <f>IF($E$36=5,($E$22/365)*$C48*$E$36*$F48*Simulation!$G$10,(($E$22/365)*$M48*Simulation!$G$10)+($E$22/365)*$N48*$F48*Simulation!$G$10)</f>
        <v>0</v>
      </c>
      <c r="R48" s="79">
        <f>IF($E$36=5,($E$23*$E$24/365)*$C48*$E$36*$F48*Simulation!$G$10,(($E$23*$E$24/365)*$M48*Simulation!$G$10)+($E$23*$E$24/365)*$N48*$F48*Simulation!$G$10)</f>
        <v>0</v>
      </c>
    </row>
    <row r="49" spans="1:18" s="2" customFormat="1" ht="15" x14ac:dyDescent="0.25">
      <c r="A49" s="37">
        <v>43497</v>
      </c>
      <c r="B49" s="38">
        <v>43497</v>
      </c>
      <c r="C49" s="39">
        <f>MAX(0,MIN(EOMONTH(B49,0),Simulation!$G$12)-MAX(B49,Simulation!$G$11)+1)</f>
        <v>0</v>
      </c>
      <c r="D49" s="197"/>
      <c r="E49" s="202"/>
      <c r="F49" s="39">
        <f>Parameters!B22</f>
        <v>2.2475000000000001</v>
      </c>
      <c r="G49" s="40">
        <f t="shared" si="0"/>
        <v>28</v>
      </c>
      <c r="H49" s="199"/>
      <c r="I49" s="41">
        <f>IF(Simulation!$G$12&gt;=$B$136,IF(AND(YEAR(Simulation!$G$11)=YEAR(A49),MONTH(A49)=MONTH(Simulation!$G$11)),1,0),0)</f>
        <v>0</v>
      </c>
      <c r="J49" s="42">
        <f>IF($H$36=0,0,IF($H$36=1,SUM(I37:I49),IF($H$36=2,SUM(I26:I49),IF($H$36=3,SUM(I17:I49),IF($H$36=4,SUM(I16:I49),"more than 4 years")))))</f>
        <v>0</v>
      </c>
      <c r="K49" s="43" t="str">
        <f t="shared" si="1"/>
        <v>ok</v>
      </c>
      <c r="L49" s="43">
        <f>IF(J49=1,IF(J50=0,IF(DAY(Simulation!$G$11)=1,0,DAY(Simulation!$G$11)-1),0),0)</f>
        <v>0</v>
      </c>
      <c r="M49" s="40">
        <f>IF(AND(J48=1,J49=1,J50=0,DAY(Simulation!$G$11)=1),0,IF(J49=1,IF(L49&lt;&gt;0,L49,C49),0))</f>
        <v>0</v>
      </c>
      <c r="N49" s="44">
        <f t="shared" si="2"/>
        <v>0</v>
      </c>
      <c r="O49" s="45">
        <f>IF($E$36=5,(($B$28*$B$12)/365)*$C49*$E$36*$F49*Simulation!$G$10,((($B$28*$B$12)/365)*$M49*Simulation!$G$10)+(($B$28*$B$12)/365)*$N49*$F49*Simulation!$G$10)</f>
        <v>0</v>
      </c>
      <c r="P49" s="46">
        <f>IF($E$36=5,(($B$29*$B$13)/365)*$C49*$E$36*$F49*Simulation!$G$10,((($B$29*$B$13)/365)*$M49*Simulation!$G$10)+(($B$29*$B$13)/365)*$N49*$F49*Simulation!$G$10)</f>
        <v>0</v>
      </c>
      <c r="Q49" s="79">
        <f>IF($E$36=5,($E$22/365)*$C49*$E$36*$F49*Simulation!$G$10,(($E$22/365)*$M49*Simulation!$G$10)+($E$22/365)*$N49*$F49*Simulation!$G$10)</f>
        <v>0</v>
      </c>
      <c r="R49" s="79">
        <f>IF($E$36=5,($E$23*$E$24/365)*$C49*$E$36*$F49*Simulation!$G$10,(($E$23*$E$24/365)*$M49*Simulation!$G$10)+($E$23*$E$24/365)*$N49*$F49*Simulation!$G$10)</f>
        <v>0</v>
      </c>
    </row>
    <row r="50" spans="1:18" s="2" customFormat="1" ht="15" x14ac:dyDescent="0.25">
      <c r="A50" s="37">
        <v>43525</v>
      </c>
      <c r="B50" s="38">
        <v>43525</v>
      </c>
      <c r="C50" s="39">
        <f>MAX(0,MIN(EOMONTH(B50,0),Simulation!$G$12)-MAX(B50,Simulation!$G$11)+1)</f>
        <v>0</v>
      </c>
      <c r="D50" s="197"/>
      <c r="E50" s="202"/>
      <c r="F50" s="39">
        <f>Parameters!B23</f>
        <v>1.885</v>
      </c>
      <c r="G50" s="40">
        <f t="shared" si="0"/>
        <v>31</v>
      </c>
      <c r="H50" s="199"/>
      <c r="I50" s="41">
        <f>IF(Simulation!$G$12&gt;=$B$136,IF(AND(YEAR(Simulation!$G$11)=YEAR(A50),MONTH(A50)=MONTH(Simulation!$G$11)),1,0),0)</f>
        <v>0</v>
      </c>
      <c r="J50" s="42">
        <f>IF($H$36=0,0,IF($H$36=1,SUM(I38:I50),IF($H$36=2,SUM(I27:I50),IF($H$36=3,SUM(I17:I50),IF($H$36=4,SUM(I16:I50),"more than 4 years")))))</f>
        <v>0</v>
      </c>
      <c r="K50" s="43" t="str">
        <f t="shared" si="1"/>
        <v>ok</v>
      </c>
      <c r="L50" s="43">
        <f>IF(J50=1,IF(J51=0,IF(DAY(Simulation!$G$11)=1,0,DAY(Simulation!$G$11)-1),0),0)</f>
        <v>0</v>
      </c>
      <c r="M50" s="40">
        <f>IF(AND(J49=1,J50=1,J51=0,DAY(Simulation!$G$11)=1),0,IF(J50=1,IF(L50&lt;&gt;0,L50,C50),0))</f>
        <v>0</v>
      </c>
      <c r="N50" s="44">
        <f t="shared" si="2"/>
        <v>0</v>
      </c>
      <c r="O50" s="45">
        <f>IF($E$36=5,(($B$28*$B$12)/365)*$C50*$E$36*$F50*Simulation!$G$10,((($B$28*$B$12)/365)*$M50*Simulation!$G$10)+(($B$28*$B$12)/365)*$N50*$F50*Simulation!$G$10)</f>
        <v>0</v>
      </c>
      <c r="P50" s="46">
        <f>IF($E$36=5,(($B$29*$B$13)/365)*$C50*$E$36*$F50*Simulation!$G$10,((($B$29*$B$13)/365)*$M50*Simulation!$G$10)+(($B$29*$B$13)/365)*$N50*$F50*Simulation!$G$10)</f>
        <v>0</v>
      </c>
      <c r="Q50" s="79">
        <f>IF($E$36=5,($E$22/365)*$C50*$E$36*$F50*Simulation!$G$10,(($E$22/365)*$M50*Simulation!$G$10)+($E$22/365)*$N50*$F50*Simulation!$G$10)</f>
        <v>0</v>
      </c>
      <c r="R50" s="79">
        <f>IF($E$36=5,($E$23*$E$24/365)*$C50*$E$36*$F50*Simulation!$G$10,(($E$23*$E$24/365)*$M50*Simulation!$G$10)+($E$23*$E$24/365)*$N50*$F50*Simulation!$G$10)</f>
        <v>0</v>
      </c>
    </row>
    <row r="51" spans="1:18" s="2" customFormat="1" ht="15" x14ac:dyDescent="0.25">
      <c r="A51" s="37">
        <v>43556</v>
      </c>
      <c r="B51" s="38">
        <v>43556</v>
      </c>
      <c r="C51" s="39">
        <f>MAX(0,MIN(EOMONTH(B51,0),Simulation!$G$12)-MAX(B51,Simulation!$G$11)+1)</f>
        <v>0</v>
      </c>
      <c r="D51" s="197"/>
      <c r="E51" s="202"/>
      <c r="F51" s="39">
        <f>Parameters!B24</f>
        <v>1.3774999999999999</v>
      </c>
      <c r="G51" s="40">
        <f t="shared" si="0"/>
        <v>30</v>
      </c>
      <c r="H51" s="199"/>
      <c r="I51" s="41">
        <f>IF(Simulation!$G$12&gt;=$B$136,IF(AND(YEAR(Simulation!$G$11)=YEAR(A51),MONTH(A51)=MONTH(Simulation!$G$11)),1,0),0)</f>
        <v>0</v>
      </c>
      <c r="J51" s="42">
        <f>IF($H$36=0,0,IF($H$36=1,SUM(I39:I51),IF($H$36=2,SUM(I28:I51),IF($H$36=3,SUM(I17:I51),IF($H$36=4,SUM(I16:I51),"more than 4 years")))))</f>
        <v>0</v>
      </c>
      <c r="K51" s="43" t="str">
        <f t="shared" si="1"/>
        <v>ok</v>
      </c>
      <c r="L51" s="43">
        <f>IF(J51=1,IF(J52=0,IF(DAY(Simulation!$G$11)=1,0,DAY(Simulation!$G$11)-1),0),0)</f>
        <v>0</v>
      </c>
      <c r="M51" s="40">
        <f>IF(AND(J50=1,J51=1,J52=0,DAY(Simulation!$G$11)=1),0,IF(J51=1,IF(L51&lt;&gt;0,L51,C51),0))</f>
        <v>0</v>
      </c>
      <c r="N51" s="44">
        <f t="shared" si="2"/>
        <v>0</v>
      </c>
      <c r="O51" s="45">
        <f>IF($E$36=5,(($B$28*$B$12)/365)*$C51*$E$36*$F51*Simulation!$G$10,((($B$28*$B$12)/365)*$M51*Simulation!$G$10)+(($B$28*$B$12)/365)*$N51*$F51*Simulation!$G$10)</f>
        <v>0</v>
      </c>
      <c r="P51" s="46">
        <f>IF($E$36=5,(($B$29*$B$13)/365)*$C51*$E$36*$F51*Simulation!$G$10,((($B$29*$B$13)/365)*$M51*Simulation!$G$10)+(($B$29*$B$13)/365)*$N51*$F51*Simulation!$G$10)</f>
        <v>0</v>
      </c>
      <c r="Q51" s="79">
        <f>IF($E$36=5,($E$22/365)*$C51*$E$36*$F51*Simulation!$G$10,(($E$22/365)*$M51*Simulation!$G$10)+($E$22/365)*$N51*$F51*Simulation!$G$10)</f>
        <v>0</v>
      </c>
      <c r="R51" s="79">
        <f>IF($E$36=5,($E$23*$E$24/365)*$C51*$E$36*$F51*Simulation!$G$10,(($E$23*$E$24/365)*$M51*Simulation!$G$10)+($E$23*$E$24/365)*$N51*$F51*Simulation!$G$10)</f>
        <v>0</v>
      </c>
    </row>
    <row r="52" spans="1:18" s="2" customFormat="1" ht="15" x14ac:dyDescent="0.25">
      <c r="A52" s="37">
        <v>43586</v>
      </c>
      <c r="B52" s="38">
        <v>43586</v>
      </c>
      <c r="C52" s="39">
        <f>MAX(0,MIN(EOMONTH(B52,0),Simulation!$G$12)-MAX(B52,Simulation!$G$11)+1)</f>
        <v>0</v>
      </c>
      <c r="D52" s="197"/>
      <c r="E52" s="202"/>
      <c r="F52" s="39">
        <f>Parameters!B25</f>
        <v>0.9425</v>
      </c>
      <c r="G52" s="40">
        <f t="shared" si="0"/>
        <v>31</v>
      </c>
      <c r="H52" s="199"/>
      <c r="I52" s="41">
        <f>IF(Simulation!$G$12&gt;=$B$136,IF(AND(YEAR(Simulation!$G$11)=YEAR(A52),MONTH(A52)=MONTH(Simulation!$G$11)),1,0),0)</f>
        <v>0</v>
      </c>
      <c r="J52" s="42">
        <f>IF($H$36=0,0,IF($H$36=1,SUM(I40:I52),IF($H$36=2,SUM(I30:I52),IF($H$36=3,SUM(I18:I52),IF($H$36=4,SUM(I16:I52),"more than 4 years")))))</f>
        <v>0</v>
      </c>
      <c r="K52" s="43" t="str">
        <f t="shared" si="1"/>
        <v>ok</v>
      </c>
      <c r="L52" s="43">
        <f>IF(J52=1,IF(J53=0,IF(DAY(Simulation!$G$11)=1,0,DAY(Simulation!$G$11)-1),0),0)</f>
        <v>0</v>
      </c>
      <c r="M52" s="40">
        <f>IF(AND(J51=1,J52=1,J53=0,DAY(Simulation!$G$11)=1),0,IF(J52=1,IF(L52&lt;&gt;0,L52,C52),0))</f>
        <v>0</v>
      </c>
      <c r="N52" s="44">
        <f t="shared" si="2"/>
        <v>0</v>
      </c>
      <c r="O52" s="45">
        <f>IF($E$36=5,(($B$28*$B$12)/365)*$C52*$E$36*$F52*Simulation!$G$10,((($B$28*$B$12)/365)*$M52*Simulation!$G$10)+(($B$28*$B$12)/365)*$N52*$F52*Simulation!$G$10)</f>
        <v>0</v>
      </c>
      <c r="P52" s="46">
        <f>IF($E$36=5,(($B$29*$B$13)/365)*$C52*$E$36*$F52*Simulation!$G$10,((($B$29*$B$13)/365)*$M52*Simulation!$G$10)+(($B$29*$B$13)/365)*$N52*$F52*Simulation!$G$10)</f>
        <v>0</v>
      </c>
      <c r="Q52" s="79">
        <f>IF($E$36=5,($E$22/365)*$C52*$E$36*$F52*Simulation!$G$10,(($E$22/365)*$M52*Simulation!$G$10)+($E$22/365)*$N52*$F52*Simulation!$G$10)</f>
        <v>0</v>
      </c>
      <c r="R52" s="79">
        <f>IF($E$36=5,($E$23*$E$24/365)*$C52*$E$36*$F52*Simulation!$G$10,(($E$23*$E$24/365)*$M52*Simulation!$G$10)+($E$23*$E$24/365)*$N52*$F52*Simulation!$G$10)</f>
        <v>0</v>
      </c>
    </row>
    <row r="53" spans="1:18" s="2" customFormat="1" ht="15" x14ac:dyDescent="0.25">
      <c r="A53" s="37">
        <v>43617</v>
      </c>
      <c r="B53" s="38">
        <v>43617</v>
      </c>
      <c r="C53" s="39">
        <f>MAX(0,MIN(EOMONTH(B53,0),Simulation!$G$12)-MAX(B53,Simulation!$G$11)+1)</f>
        <v>0</v>
      </c>
      <c r="D53" s="197"/>
      <c r="E53" s="202"/>
      <c r="F53" s="39">
        <f>Parameters!B26</f>
        <v>0.72499999999999998</v>
      </c>
      <c r="G53" s="40">
        <f t="shared" si="0"/>
        <v>30</v>
      </c>
      <c r="H53" s="199"/>
      <c r="I53" s="41">
        <f>IF(Simulation!$G$12&gt;=$B$136,IF(AND(YEAR(Simulation!$G$11)=YEAR(A53),MONTH(A53)=MONTH(Simulation!$G$11)),1,0),0)</f>
        <v>0</v>
      </c>
      <c r="J53" s="42">
        <f>IF($H$36=0,0,IF($H$36=1,SUM(I41:I53),IF($H$36=2,SUM(I30:I53),IF($H$36=3,SUM(I19:I53),IF($H$36=4,SUM(I16:I53),"more than 4 years")))))</f>
        <v>0</v>
      </c>
      <c r="K53" s="43" t="str">
        <f t="shared" si="1"/>
        <v>ok</v>
      </c>
      <c r="L53" s="43">
        <f>IF(J53=1,IF(J54=0,IF(DAY(Simulation!$G$11)=1,0,DAY(Simulation!$G$11)-1),0),0)</f>
        <v>0</v>
      </c>
      <c r="M53" s="40">
        <f>IF(AND(J52=1,J53=1,J54=0,DAY(Simulation!$G$11)=1),0,IF(J53=1,IF(L53&lt;&gt;0,L53,C53),0))</f>
        <v>0</v>
      </c>
      <c r="N53" s="44">
        <f t="shared" si="2"/>
        <v>0</v>
      </c>
      <c r="O53" s="45">
        <f>IF($E$36=5,(($B$28*$B$12)/365)*$C53*$E$36*$F53*Simulation!$G$10,((($B$28*$B$12)/365)*$M53*Simulation!$G$10)+(($B$28*$B$12)/365)*$N53*$F53*Simulation!$G$10)</f>
        <v>0</v>
      </c>
      <c r="P53" s="46">
        <f>IF($E$36=5,(($B$29*$B$13)/365)*$C53*$E$36*$F53*Simulation!$G$10,((($B$29*$B$13)/365)*$M53*Simulation!$G$10)+(($B$29*$B$13)/365)*$N53*$F53*Simulation!$G$10)</f>
        <v>0</v>
      </c>
      <c r="Q53" s="79">
        <f>IF($E$36=5,($E$22/365)*$C53*$E$36*$F53*Simulation!$G$10,(($E$22/365)*$M53*Simulation!$G$10)+($E$22/365)*$N53*$F53*Simulation!$G$10)</f>
        <v>0</v>
      </c>
      <c r="R53" s="79">
        <f>IF($E$36=5,($E$23*$E$24/365)*$C53*$E$36*$F53*Simulation!$G$10,(($E$23*$E$24/365)*$M53*Simulation!$G$10)+($E$23*$E$24/365)*$N53*$F53*Simulation!$G$10)</f>
        <v>0</v>
      </c>
    </row>
    <row r="54" spans="1:18" s="2" customFormat="1" ht="15" x14ac:dyDescent="0.25">
      <c r="A54" s="37">
        <v>43647</v>
      </c>
      <c r="B54" s="38">
        <v>43647</v>
      </c>
      <c r="C54" s="39">
        <f>MAX(0,MIN(EOMONTH(B54,0),Simulation!$G$12)-MAX(B54,Simulation!$G$11)+1)</f>
        <v>0</v>
      </c>
      <c r="D54" s="197"/>
      <c r="E54" s="202"/>
      <c r="F54" s="39">
        <f>Parameters!B27</f>
        <v>0.72499999999999998</v>
      </c>
      <c r="G54" s="40">
        <f t="shared" si="0"/>
        <v>31</v>
      </c>
      <c r="H54" s="199"/>
      <c r="I54" s="41">
        <f>IF(Simulation!$G$12&gt;=$B$136,IF(AND(YEAR(Simulation!$G$11)=YEAR(A54),MONTH(A54)=MONTH(Simulation!$G$11)),1,0),0)</f>
        <v>0</v>
      </c>
      <c r="J54" s="42">
        <f>IF($H$36=0,0,IF($H$36=1,SUM(I42:I54),IF($H$36=2,SUM(I30:I54),IF($H$36=3,SUM(I20:I54),IF($H$36=4,SUM(I16:I54),"more than 4 years")))))</f>
        <v>0</v>
      </c>
      <c r="K54" s="43" t="str">
        <f t="shared" si="1"/>
        <v>ok</v>
      </c>
      <c r="L54" s="43">
        <f>IF(J54=1,IF(J55=0,IF(DAY(Simulation!$G$11)=1,0,DAY(Simulation!$G$11)-1),0),0)</f>
        <v>0</v>
      </c>
      <c r="M54" s="40">
        <f>IF(AND(J53=1,J54=1,J55=0,DAY(Simulation!$G$11)=1),0,IF(J54=1,IF(L54&lt;&gt;0,L54,C54),0))</f>
        <v>0</v>
      </c>
      <c r="N54" s="44">
        <f t="shared" si="2"/>
        <v>0</v>
      </c>
      <c r="O54" s="45">
        <f>IF($E$36=5,(($B$28*$B$12)/365)*$C54*$E$36*$F54*Simulation!$G$10,((($B$28*$B$12)/365)*$M54*Simulation!$G$10)+(($B$28*$B$12)/365)*$N54*$F54*Simulation!$G$10)</f>
        <v>0</v>
      </c>
      <c r="P54" s="46">
        <f>IF($E$36=5,(($B$29*$B$13)/365)*$C54*$E$36*$F54*Simulation!$G$10,((($B$29*$B$13)/365)*$M54*Simulation!$G$10)+(($B$29*$B$13)/365)*$N54*$F54*Simulation!$G$10)</f>
        <v>0</v>
      </c>
      <c r="Q54" s="79">
        <f>IF($E$36=5,($E$22/365)*$C54*$E$36*$F54*Simulation!$G$10,(($E$22/365)*$M54*Simulation!$G$10)+($E$22/365)*$N54*$F54*Simulation!$G$10)</f>
        <v>0</v>
      </c>
      <c r="R54" s="79">
        <f>IF($E$36=5,($E$23*$E$24/365)*$C54*$E$36*$F54*Simulation!$G$10,(($E$23*$E$24/365)*$M54*Simulation!$G$10)+($E$23*$E$24/365)*$N54*$F54*Simulation!$G$10)</f>
        <v>0</v>
      </c>
    </row>
    <row r="55" spans="1:18" s="2" customFormat="1" ht="15" x14ac:dyDescent="0.25">
      <c r="A55" s="37">
        <v>43678</v>
      </c>
      <c r="B55" s="38">
        <v>43678</v>
      </c>
      <c r="C55" s="39">
        <f>MAX(0,MIN(EOMONTH(B55,0),Simulation!$G$12)-MAX(B55,Simulation!$G$11)+1)</f>
        <v>0</v>
      </c>
      <c r="D55" s="197"/>
      <c r="E55" s="202"/>
      <c r="F55" s="39">
        <f>Parameters!B28</f>
        <v>0.72499999999999998</v>
      </c>
      <c r="G55" s="40">
        <f t="shared" si="0"/>
        <v>31</v>
      </c>
      <c r="H55" s="199"/>
      <c r="I55" s="41">
        <f>IF(Simulation!$G$12&gt;=$B$136,IF(AND(YEAR(Simulation!$G$11)=YEAR(A55),MONTH(A55)=MONTH(Simulation!$G$11)),1,0),0)</f>
        <v>0</v>
      </c>
      <c r="J55" s="42">
        <f>IF($H$36=0,0,IF($H$36=1,SUM(I43:I55),IF($H$36=2,SUM(I31:I55),IF($H$36=3,SUM(I21:I55),IF($H$36=4,SUM(I16:I55),"more than 4 years")))))</f>
        <v>0</v>
      </c>
      <c r="K55" s="43" t="str">
        <f t="shared" si="1"/>
        <v>ok</v>
      </c>
      <c r="L55" s="43">
        <f>IF(J55=1,IF(J56=0,IF(DAY(Simulation!$G$11)=1,0,DAY(Simulation!$G$11)-1),0),0)</f>
        <v>0</v>
      </c>
      <c r="M55" s="40">
        <f>IF(AND(J54=1,J55=1,J56=0,DAY(Simulation!$G$11)=1),0,IF(J55=1,IF(L55&lt;&gt;0,L55,C55),0))</f>
        <v>0</v>
      </c>
      <c r="N55" s="44">
        <f t="shared" si="2"/>
        <v>0</v>
      </c>
      <c r="O55" s="45">
        <f>IF($E$36=5,(($B$28*$B$12)/365)*$C55*$E$36*$F55*Simulation!$G$10,((($B$28*$B$12)/365)*$M55*Simulation!$G$10)+(($B$28*$B$12)/365)*$N55*$F55*Simulation!$G$10)</f>
        <v>0</v>
      </c>
      <c r="P55" s="46">
        <f>IF($E$36=5,(($B$29*$B$13)/365)*$C55*$E$36*$F55*Simulation!$G$10,((($B$29*$B$13)/365)*$M55*Simulation!$G$10)+(($B$29*$B$13)/365)*$N55*$F55*Simulation!$G$10)</f>
        <v>0</v>
      </c>
      <c r="Q55" s="79">
        <f>IF($E$36=5,($E$22/365)*$C55*$E$36*$F55*Simulation!$G$10,(($E$22/365)*$M55*Simulation!$G$10)+($E$22/365)*$N55*$F55*Simulation!$G$10)</f>
        <v>0</v>
      </c>
      <c r="R55" s="79">
        <f>IF($E$36=5,($E$23*$E$24/365)*$C55*$E$36*$F55*Simulation!$G$10,(($E$23*$E$24/365)*$M55*Simulation!$G$10)+($E$23*$E$24/365)*$N55*$F55*Simulation!$G$10)</f>
        <v>0</v>
      </c>
    </row>
    <row r="56" spans="1:18" s="2" customFormat="1" ht="15" x14ac:dyDescent="0.25">
      <c r="A56" s="37">
        <v>43709</v>
      </c>
      <c r="B56" s="38">
        <v>43709</v>
      </c>
      <c r="C56" s="39">
        <f>MAX(0,MIN(EOMONTH(B56,0),Simulation!$G$12)-MAX(B56,Simulation!$G$11)+1)</f>
        <v>0</v>
      </c>
      <c r="D56" s="197"/>
      <c r="E56" s="202"/>
      <c r="F56" s="39">
        <f>Parameters!B29</f>
        <v>0.9425</v>
      </c>
      <c r="G56" s="40">
        <f t="shared" si="0"/>
        <v>30</v>
      </c>
      <c r="H56" s="199"/>
      <c r="I56" s="41">
        <f>IF(Simulation!$G$12&gt;=$B$136,IF(AND(YEAR(Simulation!$G$11)=YEAR(A56),MONTH(A56)=MONTH(Simulation!$G$11)),1,0),0)</f>
        <v>0</v>
      </c>
      <c r="J56" s="42">
        <f>IF($H$36=0,0,IF($H$36=1,SUM(I44:I56),IF($H$36=2,SUM(I32:I56),IF($H$36=3,SUM(I22:I56),IF($H$36=4,SUM(I16:I56),"more than 4 years")))))</f>
        <v>0</v>
      </c>
      <c r="K56" s="43" t="str">
        <f t="shared" si="1"/>
        <v>ok</v>
      </c>
      <c r="L56" s="43">
        <f>IF(J56=1,IF(J57=0,IF(DAY(Simulation!$G$11)=1,0,DAY(Simulation!$G$11)-1),0),0)</f>
        <v>0</v>
      </c>
      <c r="M56" s="40">
        <f>IF(AND(J55=1,J56=1,J57=0,DAY(Simulation!$G$11)=1),0,IF(J56=1,IF(L56&lt;&gt;0,L56,C56),0))</f>
        <v>0</v>
      </c>
      <c r="N56" s="44">
        <f t="shared" si="2"/>
        <v>0</v>
      </c>
      <c r="O56" s="45">
        <f>IF($E$36=5,(($B$28*$B$12)/365)*$C56*$E$36*$F56*Simulation!$G$10,((($B$28*$B$12)/365)*$M56*Simulation!$G$10)+(($B$28*$B$12)/365)*$N56*$F56*Simulation!$G$10)</f>
        <v>0</v>
      </c>
      <c r="P56" s="46">
        <f>IF($E$36=5,(($B$29*$B$13)/365)*$C56*$E$36*$F56*Simulation!$G$10,((($B$29*$B$13)/365)*$M56*Simulation!$G$10)+(($B$29*$B$13)/365)*$N56*$F56*Simulation!$G$10)</f>
        <v>0</v>
      </c>
      <c r="Q56" s="79">
        <f>IF($E$36=5,($E$22/365)*$C56*$E$36*$F56*Simulation!$G$10,(($E$22/365)*$M56*Simulation!$G$10)+($E$22/365)*$N56*$F56*Simulation!$G$10)</f>
        <v>0</v>
      </c>
      <c r="R56" s="79">
        <f>IF($E$36=5,($E$23*$E$24/365)*$C56*$E$36*$F56*Simulation!$G$10,(($E$23*$E$24/365)*$M56*Simulation!$G$10)+($E$23*$E$24/365)*$N56*$F56*Simulation!$G$10)</f>
        <v>0</v>
      </c>
    </row>
    <row r="57" spans="1:18" s="2" customFormat="1" ht="15" x14ac:dyDescent="0.25">
      <c r="A57" s="37">
        <v>43739</v>
      </c>
      <c r="B57" s="38">
        <v>43739</v>
      </c>
      <c r="C57" s="39">
        <f>MAX(0,MIN(EOMONTH(B57,0),Simulation!$G$12)-MAX(B57,Simulation!$G$11)+1)</f>
        <v>0</v>
      </c>
      <c r="D57" s="197"/>
      <c r="E57" s="202"/>
      <c r="F57" s="39">
        <f>Parameters!B30</f>
        <v>1.5225</v>
      </c>
      <c r="G57" s="40">
        <f t="shared" si="0"/>
        <v>31</v>
      </c>
      <c r="H57" s="199"/>
      <c r="I57" s="41">
        <f>IF(Simulation!$G$12&gt;=$B$136,IF(AND(YEAR(Simulation!$G$11)=YEAR(A57),MONTH(A57)=MONTH(Simulation!$G$11)),1,0),0)</f>
        <v>0</v>
      </c>
      <c r="J57" s="42">
        <f>IF($H$36=0,0,IF($H$36=1,SUM(I45:I57),IF($H$36=2,SUM(I33:I57),IF($H$36=3,SUM(I23:I57),IF($H$36=4,SUM(I16:I57),"more than 4 years")))))</f>
        <v>0</v>
      </c>
      <c r="K57" s="43" t="str">
        <f t="shared" si="1"/>
        <v>ok</v>
      </c>
      <c r="L57" s="43">
        <f>IF(J57=1,IF(J58=0,IF(DAY(Simulation!$G$11)=1,0,DAY(Simulation!$G$11)-1),0),0)</f>
        <v>0</v>
      </c>
      <c r="M57" s="40">
        <f>IF(AND(J56=1,J57=1,J58=0,DAY(Simulation!$G$11)=1),0,IF(J57=1,IF(L57&lt;&gt;0,L57,C57),0))</f>
        <v>0</v>
      </c>
      <c r="N57" s="44">
        <f t="shared" si="2"/>
        <v>0</v>
      </c>
      <c r="O57" s="45">
        <f>IF($E$36=5,(($B$28*$B$12)/365)*$C57*$E$36*$F57*Simulation!$G$10,((($B$28*$B$12)/365)*$M57*Simulation!$G$10)+(($B$28*$B$12)/365)*$N57*$F57*Simulation!$G$10)</f>
        <v>0</v>
      </c>
      <c r="P57" s="46">
        <f>IF($E$36=5,(($B$29*$B$13)/365)*$C57*$E$36*$F57*Simulation!$G$10,((($B$29*$B$13)/365)*$M57*Simulation!$G$10)+(($B$29*$B$13)/365)*$N57*$F57*Simulation!$G$10)</f>
        <v>0</v>
      </c>
      <c r="Q57" s="79">
        <f>IF($E$36=5,($E$22/365)*$C57*$E$36*$F57*Simulation!$G$10,(($E$22/365)*$M57*Simulation!$G$10)+($E$22/365)*$N57*$F57*Simulation!$G$10)</f>
        <v>0</v>
      </c>
      <c r="R57" s="79">
        <f>IF($E$36=5,($E$23*$E$24/365)*$C57*$E$36*$F57*Simulation!$G$10,(($E$23*$E$24/365)*$M57*Simulation!$G$10)+($E$23*$E$24/365)*$N57*$F57*Simulation!$G$10)</f>
        <v>0</v>
      </c>
    </row>
    <row r="58" spans="1:18" s="2" customFormat="1" ht="15" x14ac:dyDescent="0.25">
      <c r="A58" s="37">
        <v>43770</v>
      </c>
      <c r="B58" s="38">
        <v>43770</v>
      </c>
      <c r="C58" s="39">
        <f>MAX(0,MIN(EOMONTH(B58,0),Simulation!$G$12)-MAX(B58,Simulation!$G$11)+1)</f>
        <v>0</v>
      </c>
      <c r="D58" s="197"/>
      <c r="E58" s="202"/>
      <c r="F58" s="39">
        <f>Parameters!B31</f>
        <v>2.0299999999999998</v>
      </c>
      <c r="G58" s="40">
        <f t="shared" si="0"/>
        <v>30</v>
      </c>
      <c r="H58" s="199"/>
      <c r="I58" s="41">
        <f>IF(Simulation!$G$12&gt;=$B$136,IF(AND(YEAR(Simulation!$G$11)=YEAR(A58),MONTH(A58)=MONTH(Simulation!$G$11)),1,0),0)</f>
        <v>0</v>
      </c>
      <c r="J58" s="42">
        <f>IF($H$36=0,0,IF($H$36=1,SUM(I46:I58),IF($H$36=2,SUM(I34:I58),IF($H$36=3,SUM(I23:I58),IF($H$36=4,SUM(I16:I58),"more than 4 years")))))</f>
        <v>0</v>
      </c>
      <c r="K58" s="43" t="str">
        <f t="shared" si="1"/>
        <v>ok</v>
      </c>
      <c r="L58" s="43">
        <f>IF(J58=1,IF(J59=0,IF(DAY(Simulation!$G$11)=1,0,DAY(Simulation!$G$11)-1),0),0)</f>
        <v>0</v>
      </c>
      <c r="M58" s="40">
        <f>IF(AND(J57=1,J58=1,J59=0,DAY(Simulation!$G$11)=1),0,IF(J58=1,IF(L58&lt;&gt;0,L58,C58),0))</f>
        <v>0</v>
      </c>
      <c r="N58" s="44">
        <f t="shared" si="2"/>
        <v>0</v>
      </c>
      <c r="O58" s="45">
        <f>IF($E$36=5,(($B$28*$B$12)/365)*$C58*$E$36*$F58*Simulation!$G$10,((($B$28*$B$12)/365)*$M58*Simulation!$G$10)+(($B$28*$B$12)/365)*$N58*$F58*Simulation!$G$10)</f>
        <v>0</v>
      </c>
      <c r="P58" s="46">
        <f>IF($E$36=5,(($B$29*$B$13)/365)*$C58*$E$36*$F58*Simulation!$G$10,((($B$29*$B$13)/365)*$M58*Simulation!$G$10)+(($B$29*$B$13)/365)*$N58*$F58*Simulation!$G$10)</f>
        <v>0</v>
      </c>
      <c r="Q58" s="79">
        <f>IF($E$36=5,($E$22/365)*$C58*$E$36*$F58*Simulation!$G$10,(($E$22/365)*$M58*Simulation!$G$10)+($E$22/365)*$N58*$F58*Simulation!$G$10)</f>
        <v>0</v>
      </c>
      <c r="R58" s="79">
        <f>IF($E$36=5,($E$23*$E$24/365)*$C58*$E$36*$F58*Simulation!$G$10,(($E$23*$E$24/365)*$M58*Simulation!$G$10)+($E$23*$E$24/365)*$N58*$F58*Simulation!$G$10)</f>
        <v>0</v>
      </c>
    </row>
    <row r="59" spans="1:18" s="2" customFormat="1" ht="15" x14ac:dyDescent="0.25">
      <c r="A59" s="37">
        <v>43800</v>
      </c>
      <c r="B59" s="38">
        <v>43800</v>
      </c>
      <c r="C59" s="39">
        <f>MAX(0,MIN(EOMONTH(B59,0),Simulation!$G$12)-MAX(B59,Simulation!$G$11)+1)</f>
        <v>0</v>
      </c>
      <c r="D59" s="197"/>
      <c r="E59" s="202"/>
      <c r="F59" s="39">
        <f>Parameters!B32</f>
        <v>2.3199999999999998</v>
      </c>
      <c r="G59" s="40">
        <f t="shared" si="0"/>
        <v>31</v>
      </c>
      <c r="H59" s="199"/>
      <c r="I59" s="41">
        <f>IF(Simulation!$G$12&gt;=$B$136,IF(AND(YEAR(Simulation!$G$11)=YEAR(A59),MONTH(A59)=MONTH(Simulation!$G$11)),1,0),0)</f>
        <v>0</v>
      </c>
      <c r="J59" s="42">
        <f>IF($H$36=0,0,IF($H$36=1,SUM(I47:I59),IF($H$36=2,SUM(I35:I59),IF($H$36=3,SUM(I24:I59),IF($H$36=4,SUM(I16:I59),"more than 4 years")))))</f>
        <v>0</v>
      </c>
      <c r="K59" s="43" t="str">
        <f t="shared" si="1"/>
        <v>ok</v>
      </c>
      <c r="L59" s="43">
        <f>IF(J59=1,IF(J60=0,IF(DAY(Simulation!$G$11)=1,0,DAY(Simulation!$G$11)-1),0),0)</f>
        <v>0</v>
      </c>
      <c r="M59" s="40">
        <f>IF(AND(J58=1,J59=1,J60=0,DAY(Simulation!$G$11)=1),0,IF(J59=1,IF(L59&lt;&gt;0,L59,C59),0))</f>
        <v>0</v>
      </c>
      <c r="N59" s="44">
        <f t="shared" si="2"/>
        <v>0</v>
      </c>
      <c r="O59" s="45">
        <f>IF($E$36=5,(($B$28*$B$12)/365)*$C59*$E$36*$F59*Simulation!$G$10,((($B$28*$B$12)/365)*$M59*Simulation!$G$10)+(($B$28*$B$12)/365)*$N59*$F59*Simulation!$G$10)</f>
        <v>0</v>
      </c>
      <c r="P59" s="46">
        <f>IF($E$36=5,(($B$29*$B$13)/365)*$C59*$E$36*$F59*Simulation!$G$10,((($B$29*$B$13)/365)*$M59*Simulation!$G$10)+(($B$29*$B$13)/365)*$N59*$F59*Simulation!$G$10)</f>
        <v>0</v>
      </c>
      <c r="Q59" s="79">
        <f>IF($E$36=5,($E$22/365)*$C59*$E$36*$F59*Simulation!$G$10,(($E$22/365)*$M59*Simulation!$G$10)+($E$22/365)*$N59*$F59*Simulation!$G$10)</f>
        <v>0</v>
      </c>
      <c r="R59" s="79">
        <f>IF($E$36=5,($E$23*$E$24/365)*$C59*$E$36*$F59*Simulation!$G$10,(($E$23*$E$24/365)*$M59*Simulation!$G$10)+($E$23*$E$24/365)*$N59*$F59*Simulation!$G$10)</f>
        <v>0</v>
      </c>
    </row>
    <row r="60" spans="1:18" s="2" customFormat="1" ht="15" x14ac:dyDescent="0.25">
      <c r="A60" s="37">
        <v>43831</v>
      </c>
      <c r="B60" s="38">
        <v>43831</v>
      </c>
      <c r="C60" s="39">
        <f>MAX(0,MIN(EOMONTH(B60,0),Simulation!$G$12)-MAX(B60,Simulation!$G$11)+1)</f>
        <v>0</v>
      </c>
      <c r="D60" s="197"/>
      <c r="E60" s="202"/>
      <c r="F60" s="39">
        <f>Parameters!B21</f>
        <v>2.5375000000000001</v>
      </c>
      <c r="G60" s="40">
        <f t="shared" si="0"/>
        <v>31</v>
      </c>
      <c r="H60" s="199"/>
      <c r="I60" s="41">
        <f>IF(Simulation!$G$12&gt;=$B$136,IF(AND(YEAR(Simulation!$G$11)=YEAR(A60),MONTH(A60)=MONTH(Simulation!$G$11)),1,0),0)</f>
        <v>0</v>
      </c>
      <c r="J60" s="42">
        <f>IF($H$36=0,0,IF($H$36=1,SUM(I48:I60),IF($H$36=2,SUM(I36:I60),IF($H$36=3,SUM(I25:I60),IF($H$36=4,SUM(I16:I60),"more than 4 years")))))</f>
        <v>0</v>
      </c>
      <c r="K60" s="43" t="str">
        <f t="shared" si="1"/>
        <v>ok</v>
      </c>
      <c r="L60" s="43">
        <f>IF(J60=1,IF(J61=0,IF(DAY(Simulation!$G$11)=1,0,DAY(Simulation!$G$11)-1),0),0)</f>
        <v>0</v>
      </c>
      <c r="M60" s="40">
        <f>IF(AND(J59=1,J60=1,J61=0,DAY(Simulation!$G$11)=1),0,IF(J60=1,IF(L60&lt;&gt;0,L60,C60),0))</f>
        <v>0</v>
      </c>
      <c r="N60" s="44">
        <f t="shared" si="2"/>
        <v>0</v>
      </c>
      <c r="O60" s="45">
        <f>IF($E$36=5,(($B$28*$B$12)/365)*$C60*$E$36*$F60*Simulation!$G$10,((($B$28*$B$12)/365)*$M60*Simulation!$G$10)+(($B$28*$B$12)/365)*$N60*$F60*Simulation!$G$10)</f>
        <v>0</v>
      </c>
      <c r="P60" s="46">
        <f>IF($E$36=5,(($B$29*$B$13)/365)*$C60*$E$36*$F60*Simulation!$G$10,((($B$29*$B$13)/365)*$M60*Simulation!$G$10)+(($B$29*$B$13)/365)*$N60*$F60*Simulation!$G$10)</f>
        <v>0</v>
      </c>
      <c r="Q60" s="79">
        <f>IF($E$36=5,($E$22/365)*$C60*$E$36*$F60*Simulation!$G$10,(($E$22/365)*$M60*Simulation!$G$10)+($E$22/365)*$N60*$F60*Simulation!$G$10)</f>
        <v>0</v>
      </c>
      <c r="R60" s="79">
        <f>IF($E$36=5,($E$23*$E$24/365)*$C60*$E$36*$F60*Simulation!$G$10,(($E$23*$E$24/365)*$M60*Simulation!$G$10)+($E$23*$E$24/365)*$N60*$F60*Simulation!$G$10)</f>
        <v>0</v>
      </c>
    </row>
    <row r="61" spans="1:18" s="2" customFormat="1" ht="15" x14ac:dyDescent="0.25">
      <c r="A61" s="37">
        <v>43862</v>
      </c>
      <c r="B61" s="38">
        <v>43862</v>
      </c>
      <c r="C61" s="39">
        <f>MAX(0,MIN(EOMONTH(B61,0),Simulation!$G$12)-MAX(B61,Simulation!$G$11)+1)</f>
        <v>0</v>
      </c>
      <c r="D61" s="197"/>
      <c r="E61" s="202"/>
      <c r="F61" s="39">
        <f>Parameters!B22</f>
        <v>2.2475000000000001</v>
      </c>
      <c r="G61" s="40">
        <f t="shared" si="0"/>
        <v>29</v>
      </c>
      <c r="H61" s="199"/>
      <c r="I61" s="41">
        <f>IF(Simulation!$G$12&gt;=$B$136,IF(AND(YEAR(Simulation!$G$11)=YEAR(A61),MONTH(A61)=MONTH(Simulation!$G$11)),1,0),0)</f>
        <v>0</v>
      </c>
      <c r="J61" s="42">
        <f>IF($H$36=0,0,IF($H$36=1,SUM(I49:I61),IF($H$36=2,SUM(I37:I61),IF($H$36=3,SUM(I26:I61),IF($H$36=4,SUM(I17:I61),"more than 4 years")))))</f>
        <v>0</v>
      </c>
      <c r="K61" s="43" t="str">
        <f t="shared" si="1"/>
        <v>ok</v>
      </c>
      <c r="L61" s="43">
        <f>IF(J61=1,IF(J62=0,IF(DAY(Simulation!$G$11)=1,0,DAY(Simulation!$G$11)-1),0),0)</f>
        <v>0</v>
      </c>
      <c r="M61" s="40">
        <f>IF(AND(J60=1,J61=1,J62=0,DAY(Simulation!$G$11)=1),0,IF(J61=1,IF(L61&lt;&gt;0,L61,C61),0))</f>
        <v>0</v>
      </c>
      <c r="N61" s="44">
        <f t="shared" si="2"/>
        <v>0</v>
      </c>
      <c r="O61" s="45">
        <f>IF($E$36=5,(($B$28*$B$12)/365)*$C61*$E$36*$F61*Simulation!$G$10,((($B$28*$B$12)/365)*$M61*Simulation!$G$10)+(($B$28*$B$12)/365)*$N61*$F61*Simulation!$G$10)</f>
        <v>0</v>
      </c>
      <c r="P61" s="46">
        <f>IF($E$36=5,(($B$29*$B$13)/365)*$C61*$E$36*$F61*Simulation!$G$10,((($B$29*$B$13)/365)*$M61*Simulation!$G$10)+(($B$29*$B$13)/365)*$N61*$F61*Simulation!$G$10)</f>
        <v>0</v>
      </c>
      <c r="Q61" s="79">
        <f>IF($E$36=5,($E$22/365)*$C61*$E$36*$F61*Simulation!$G$10,(($E$22/365)*$M61*Simulation!$G$10)+($E$22/365)*$N61*$F61*Simulation!$G$10)</f>
        <v>0</v>
      </c>
      <c r="R61" s="79">
        <f>IF($E$36=5,($E$23*$E$24/365)*$C61*$E$36*$F61*Simulation!$G$10,(($E$23*$E$24/365)*$M61*Simulation!$G$10)+($E$23*$E$24/365)*$N61*$F61*Simulation!$G$10)</f>
        <v>0</v>
      </c>
    </row>
    <row r="62" spans="1:18" s="2" customFormat="1" ht="15" x14ac:dyDescent="0.25">
      <c r="A62" s="37">
        <v>43891</v>
      </c>
      <c r="B62" s="38">
        <v>43891</v>
      </c>
      <c r="C62" s="39">
        <f>MAX(0,MIN(EOMONTH(B62,0),Simulation!$G$12)-MAX(B62,Simulation!$G$11)+1)</f>
        <v>0</v>
      </c>
      <c r="D62" s="197"/>
      <c r="E62" s="202"/>
      <c r="F62" s="39">
        <f>Parameters!B23</f>
        <v>1.885</v>
      </c>
      <c r="G62" s="40">
        <f t="shared" si="0"/>
        <v>31</v>
      </c>
      <c r="H62" s="199"/>
      <c r="I62" s="41">
        <f>IF(Simulation!$G$12&gt;=$B$136,IF(AND(YEAR(Simulation!$G$11)=YEAR(A62),MONTH(A62)=MONTH(Simulation!$G$11)),1,0),0)</f>
        <v>0</v>
      </c>
      <c r="J62" s="42">
        <f>IF($H$36=0,0,IF($H$36=1,SUM(I50:I62),IF($H$36=2,SUM(I38:I62),IF($H$36=3,SUM(I27:I62),IF($H$36=4,SUM(I17:I62),"more than 4 years")))))</f>
        <v>0</v>
      </c>
      <c r="K62" s="43" t="str">
        <f t="shared" si="1"/>
        <v>ok</v>
      </c>
      <c r="L62" s="43">
        <f>IF(J62=1,IF(J63=0,IF(DAY(Simulation!$G$11)=1,0,DAY(Simulation!$G$11)-1),0),0)</f>
        <v>0</v>
      </c>
      <c r="M62" s="40">
        <f>IF(AND(J61=1,J62=1,J63=0,DAY(Simulation!$G$11)=1),0,IF(J62=1,IF(L62&lt;&gt;0,L62,C62),0))</f>
        <v>0</v>
      </c>
      <c r="N62" s="44">
        <f t="shared" si="2"/>
        <v>0</v>
      </c>
      <c r="O62" s="45">
        <f>IF($E$36=5,(($B$28*$B$12)/365)*$C62*$E$36*$F62*Simulation!$G$10,((($B$28*$B$12)/365)*$M62*Simulation!$G$10)+(($B$28*$B$12)/365)*$N62*$F62*Simulation!$G$10)</f>
        <v>0</v>
      </c>
      <c r="P62" s="46">
        <f>IF($E$36=5,(($B$29*$B$13)/365)*$C62*$E$36*$F62*Simulation!$G$10,((($B$29*$B$13)/365)*$M62*Simulation!$G$10)+(($B$29*$B$13)/365)*$N62*$F62*Simulation!$G$10)</f>
        <v>0</v>
      </c>
      <c r="Q62" s="79">
        <f>IF($E$36=5,($E$22/365)*$C62*$E$36*$F62*Simulation!$G$10,(($E$22/365)*$M62*Simulation!$G$10)+($E$22/365)*$N62*$F62*Simulation!$G$10)</f>
        <v>0</v>
      </c>
      <c r="R62" s="79">
        <f>IF($E$36=5,($E$23*$E$24/365)*$C62*$E$36*$F62*Simulation!$G$10,(($E$23*$E$24/365)*$M62*Simulation!$G$10)+($E$23*$E$24/365)*$N62*$F62*Simulation!$G$10)</f>
        <v>0</v>
      </c>
    </row>
    <row r="63" spans="1:18" s="2" customFormat="1" ht="15" x14ac:dyDescent="0.25">
      <c r="A63" s="37">
        <v>43922</v>
      </c>
      <c r="B63" s="38">
        <v>43922</v>
      </c>
      <c r="C63" s="39">
        <f>MAX(0,MIN(EOMONTH(B63,0),Simulation!$G$12)-MAX(B63,Simulation!$G$11)+1)</f>
        <v>0</v>
      </c>
      <c r="D63" s="197"/>
      <c r="E63" s="202"/>
      <c r="F63" s="39">
        <f>Parameters!B24</f>
        <v>1.3774999999999999</v>
      </c>
      <c r="G63" s="40">
        <f t="shared" si="0"/>
        <v>30</v>
      </c>
      <c r="H63" s="199"/>
      <c r="I63" s="41">
        <f>IF(Simulation!$G$12&gt;=$B$136,IF(AND(YEAR(Simulation!$G$11)=YEAR(A63),MONTH(A63)=MONTH(Simulation!$G$11)),1,0),0)</f>
        <v>0</v>
      </c>
      <c r="J63" s="42">
        <f>IF($H$36=0,0,IF($H$36=1,SUM(I51:I63),IF($H$36=2,SUM(I39:I63),IF($H$36=3,SUM(I28:I63),IF($H$36=4,SUM(I17:I63),"more than 4 years")))))</f>
        <v>0</v>
      </c>
      <c r="K63" s="43" t="str">
        <f t="shared" si="1"/>
        <v>ok</v>
      </c>
      <c r="L63" s="43">
        <f>IF(J63=1,IF(J64=0,IF(DAY(Simulation!$G$11)=1,0,DAY(Simulation!$G$11)-1),0),0)</f>
        <v>0</v>
      </c>
      <c r="M63" s="40">
        <f>IF(AND(J62=1,J63=1,J64=0,DAY(Simulation!$G$11)=1),0,IF(J63=1,IF(L63&lt;&gt;0,L63,C63),0))</f>
        <v>0</v>
      </c>
      <c r="N63" s="44">
        <f t="shared" si="2"/>
        <v>0</v>
      </c>
      <c r="O63" s="45">
        <f>IF($E$36=5,(($B$28*$B$12)/365)*$C63*$E$36*$F63*Simulation!$G$10,((($B$28*$B$12)/365)*$M63*Simulation!$G$10)+(($B$28*$B$12)/365)*$N63*$F63*Simulation!$G$10)</f>
        <v>0</v>
      </c>
      <c r="P63" s="46">
        <f>IF($E$36=5,(($B$29*$B$13)/365)*$C63*$E$36*$F63*Simulation!$G$10,((($B$29*$B$13)/365)*$M63*Simulation!$G$10)+(($B$29*$B$13)/365)*$N63*$F63*Simulation!$G$10)</f>
        <v>0</v>
      </c>
      <c r="Q63" s="79">
        <f>IF($E$36=5,($E$22/365)*$C63*$E$36*$F63*Simulation!$G$10,(($E$22/365)*$M63*Simulation!$G$10)+($E$22/365)*$N63*$F63*Simulation!$G$10)</f>
        <v>0</v>
      </c>
      <c r="R63" s="79">
        <f>IF($E$36=5,($E$23*$E$24/365)*$C63*$E$36*$F63*Simulation!$G$10,(($E$23*$E$24/365)*$M63*Simulation!$G$10)+($E$23*$E$24/365)*$N63*$F63*Simulation!$G$10)</f>
        <v>0</v>
      </c>
    </row>
    <row r="64" spans="1:18" s="2" customFormat="1" ht="15" x14ac:dyDescent="0.25">
      <c r="A64" s="37">
        <v>43952</v>
      </c>
      <c r="B64" s="38">
        <v>43952</v>
      </c>
      <c r="C64" s="39">
        <f>MAX(0,MIN(EOMONTH(B64,0),Simulation!$G$12)-MAX(B64,Simulation!$G$11)+1)</f>
        <v>0</v>
      </c>
      <c r="D64" s="197"/>
      <c r="E64" s="202"/>
      <c r="F64" s="39">
        <f>Parameters!B25</f>
        <v>0.9425</v>
      </c>
      <c r="G64" s="40">
        <f t="shared" si="0"/>
        <v>31</v>
      </c>
      <c r="H64" s="199"/>
      <c r="I64" s="41">
        <f>IF(Simulation!$G$12&gt;=$B$136,IF(AND(YEAR(Simulation!$G$11)=YEAR(A64),MONTH(A64)=MONTH(Simulation!$G$11)),1,0),0)</f>
        <v>0</v>
      </c>
      <c r="J64" s="42">
        <f>IF($H$36=0,0,IF($H$36=1,SUM(I52:I64),IF($H$36=2,SUM(I40:I64),IF($H$36=3,SUM(I30:I64),IF($H$36=4,SUM(I18:I64),"more than 4 years")))))</f>
        <v>0</v>
      </c>
      <c r="K64" s="43" t="str">
        <f t="shared" si="1"/>
        <v>ok</v>
      </c>
      <c r="L64" s="43">
        <f>IF(J64=1,IF(J65=0,IF(DAY(Simulation!$G$11)=1,0,DAY(Simulation!$G$11)-1),0),0)</f>
        <v>0</v>
      </c>
      <c r="M64" s="40">
        <f>IF(AND(J63=1,J64=1,J65=0,DAY(Simulation!$G$11)=1),0,IF(J64=1,IF(L64&lt;&gt;0,L64,C64),0))</f>
        <v>0</v>
      </c>
      <c r="N64" s="44">
        <f t="shared" si="2"/>
        <v>0</v>
      </c>
      <c r="O64" s="45">
        <f>IF($E$36=5,(($B$28*$B$12)/365)*$C64*$E$36*$F64*Simulation!$G$10,((($B$28*$B$12)/365)*$M64*Simulation!$G$10)+(($B$28*$B$12)/365)*$N64*$F64*Simulation!$G$10)</f>
        <v>0</v>
      </c>
      <c r="P64" s="46">
        <f>IF($E$36=5,(($B$29*$B$13)/365)*$C64*$E$36*$F64*Simulation!$G$10,((($B$29*$B$13)/365)*$M64*Simulation!$G$10)+(($B$29*$B$13)/365)*$N64*$F64*Simulation!$G$10)</f>
        <v>0</v>
      </c>
      <c r="Q64" s="79">
        <f>IF($E$36=5,($E$22/365)*$C64*$E$36*$F64*Simulation!$G$10,(($E$22/365)*$M64*Simulation!$G$10)+($E$22/365)*$N64*$F64*Simulation!$G$10)</f>
        <v>0</v>
      </c>
      <c r="R64" s="79">
        <f>IF($E$36=5,($E$23*$E$24/365)*$C64*$E$36*$F64*Simulation!$G$10,(($E$23*$E$24/365)*$M64*Simulation!$G$10)+($E$23*$E$24/365)*$N64*$F64*Simulation!$G$10)</f>
        <v>0</v>
      </c>
    </row>
    <row r="65" spans="1:18" s="2" customFormat="1" ht="15" x14ac:dyDescent="0.25">
      <c r="A65" s="37">
        <v>43983</v>
      </c>
      <c r="B65" s="38">
        <v>43983</v>
      </c>
      <c r="C65" s="39">
        <f>MAX(0,MIN(EOMONTH(B65,0),Simulation!$G$12)-MAX(B65,Simulation!$G$11)+1)</f>
        <v>0</v>
      </c>
      <c r="D65" s="197"/>
      <c r="E65" s="202"/>
      <c r="F65" s="39">
        <f>Parameters!B26</f>
        <v>0.72499999999999998</v>
      </c>
      <c r="G65" s="40">
        <f t="shared" si="0"/>
        <v>30</v>
      </c>
      <c r="H65" s="199"/>
      <c r="I65" s="41">
        <f>IF(Simulation!$G$12&gt;=$B$136,IF(AND(YEAR(Simulation!$G$11)=YEAR(A65),MONTH(A65)=MONTH(Simulation!$G$11)),1,0),0)</f>
        <v>0</v>
      </c>
      <c r="J65" s="42">
        <f>IF($H$36=0,0,IF($H$36=1,SUM(I53:I65),IF($H$36=2,SUM(I41:I65),IF($H$36=3,SUM(I30:I65),IF($H$36=4,SUM(I19:I65),"more than 4 years")))))</f>
        <v>0</v>
      </c>
      <c r="K65" s="43" t="str">
        <f t="shared" si="1"/>
        <v>ok</v>
      </c>
      <c r="L65" s="43">
        <f>IF(J65=1,IF(J66=0,IF(DAY(Simulation!$G$11)=1,0,DAY(Simulation!$G$11)-1),0),0)</f>
        <v>0</v>
      </c>
      <c r="M65" s="40">
        <f>IF(AND(J64=1,J65=1,J66=0,DAY(Simulation!$G$11)=1),0,IF(J65=1,IF(L65&lt;&gt;0,L65,C65),0))</f>
        <v>0</v>
      </c>
      <c r="N65" s="44">
        <f t="shared" si="2"/>
        <v>0</v>
      </c>
      <c r="O65" s="45">
        <f>IF($E$36=5,(($B$28*$B$12)/365)*$C65*$E$36*$F65*Simulation!$G$10,((($B$28*$B$12)/365)*$M65*Simulation!$G$10)+(($B$28*$B$12)/365)*$N65*$F65*Simulation!$G$10)</f>
        <v>0</v>
      </c>
      <c r="P65" s="46">
        <f>IF($E$36=5,(($B$29*$B$13)/365)*$C65*$E$36*$F65*Simulation!$G$10,((($B$29*$B$13)/365)*$M65*Simulation!$G$10)+(($B$29*$B$13)/365)*$N65*$F65*Simulation!$G$10)</f>
        <v>0</v>
      </c>
      <c r="Q65" s="79">
        <f>IF($E$36=5,($E$22/365)*$C65*$E$36*$F65*Simulation!$G$10,(($E$22/365)*$M65*Simulation!$G$10)+($E$22/365)*$N65*$F65*Simulation!$G$10)</f>
        <v>0</v>
      </c>
      <c r="R65" s="79">
        <f>IF($E$36=5,($E$23*$E$24/365)*$C65*$E$36*$F65*Simulation!$G$10,(($E$23*$E$24/365)*$M65*Simulation!$G$10)+($E$23*$E$24/365)*$N65*$F65*Simulation!$G$10)</f>
        <v>0</v>
      </c>
    </row>
    <row r="66" spans="1:18" s="2" customFormat="1" ht="15" x14ac:dyDescent="0.25">
      <c r="A66" s="37">
        <v>44013</v>
      </c>
      <c r="B66" s="38">
        <v>44013</v>
      </c>
      <c r="C66" s="39">
        <f>MAX(0,MIN(EOMONTH(B66,0),Simulation!$G$12)-MAX(B66,Simulation!$G$11)+1)</f>
        <v>0</v>
      </c>
      <c r="D66" s="197"/>
      <c r="E66" s="202"/>
      <c r="F66" s="39">
        <f>Parameters!B27</f>
        <v>0.72499999999999998</v>
      </c>
      <c r="G66" s="40">
        <f t="shared" si="0"/>
        <v>31</v>
      </c>
      <c r="H66" s="199"/>
      <c r="I66" s="41">
        <f>IF(Simulation!$G$12&gt;=$B$136,IF(AND(YEAR(Simulation!$G$11)=YEAR(A66),MONTH(A66)=MONTH(Simulation!$G$11)),1,0),0)</f>
        <v>0</v>
      </c>
      <c r="J66" s="42">
        <f>IF($H$36=0,0,IF($H$36=1,SUM(I54:I66),IF($H$36=2,SUM(I42:I66),IF($H$36=3,SUM(I30:I66),IF($H$36=4,SUM(I20:I66),"more than 4 years")))))</f>
        <v>0</v>
      </c>
      <c r="K66" s="43" t="str">
        <f t="shared" si="1"/>
        <v>ok</v>
      </c>
      <c r="L66" s="43">
        <f>IF(J66=1,IF(J67=0,IF(DAY(Simulation!$G$11)=1,0,DAY(Simulation!$G$11)-1),0),0)</f>
        <v>0</v>
      </c>
      <c r="M66" s="40">
        <f>IF(AND(J65=1,J66=1,J67=0,DAY(Simulation!$G$11)=1),0,IF(J66=1,IF(L66&lt;&gt;0,L66,C66),0))</f>
        <v>0</v>
      </c>
      <c r="N66" s="44">
        <f t="shared" si="2"/>
        <v>0</v>
      </c>
      <c r="O66" s="45">
        <f>IF($E$36=5,(($B$28*$B$12)/365)*$C66*$E$36*$F66*Simulation!$G$10,((($B$28*$B$12)/365)*$M66*Simulation!$G$10)+(($B$28*$B$12)/365)*$N66*$F66*Simulation!$G$10)</f>
        <v>0</v>
      </c>
      <c r="P66" s="46">
        <f>IF($E$36=5,(($B$29*$B$13)/365)*$C66*$E$36*$F66*Simulation!$G$10,((($B$29*$B$13)/365)*$M66*Simulation!$G$10)+(($B$29*$B$13)/365)*$N66*$F66*Simulation!$G$10)</f>
        <v>0</v>
      </c>
      <c r="Q66" s="79">
        <f>IF($E$36=5,($E$22/365)*$C66*$E$36*$F66*Simulation!$G$10,(($E$22/365)*$M66*Simulation!$G$10)+($E$22/365)*$N66*$F66*Simulation!$G$10)</f>
        <v>0</v>
      </c>
      <c r="R66" s="79">
        <f>IF($E$36=5,($E$23*$E$24/365)*$C66*$E$36*$F66*Simulation!$G$10,(($E$23*$E$24/365)*$M66*Simulation!$G$10)+($E$23*$E$24/365)*$N66*$F66*Simulation!$G$10)</f>
        <v>0</v>
      </c>
    </row>
    <row r="67" spans="1:18" s="2" customFormat="1" ht="15" x14ac:dyDescent="0.25">
      <c r="A67" s="37">
        <v>44044</v>
      </c>
      <c r="B67" s="38">
        <v>44044</v>
      </c>
      <c r="C67" s="39">
        <f>MAX(0,MIN(EOMONTH(B67,0),Simulation!$G$12)-MAX(B67,Simulation!$G$11)+1)</f>
        <v>0</v>
      </c>
      <c r="D67" s="197"/>
      <c r="E67" s="202"/>
      <c r="F67" s="39">
        <f>Parameters!B28</f>
        <v>0.72499999999999998</v>
      </c>
      <c r="G67" s="40">
        <f t="shared" si="0"/>
        <v>31</v>
      </c>
      <c r="H67" s="199"/>
      <c r="I67" s="41">
        <f>IF(Simulation!$G$12&gt;=$B$136,IF(AND(YEAR(Simulation!$G$11)=YEAR(A67),MONTH(A67)=MONTH(Simulation!$G$11)),1,0),0)</f>
        <v>0</v>
      </c>
      <c r="J67" s="42">
        <f>IF($H$36=0,0,IF($H$36=1,SUM(I55:I67),IF($H$36=2,SUM(I43:I67),IF($H$36=3,SUM(I31:I67),IF($H$36=4,SUM(I21:I67),"more than 4 years")))))</f>
        <v>0</v>
      </c>
      <c r="K67" s="43" t="str">
        <f t="shared" si="1"/>
        <v>ok</v>
      </c>
      <c r="L67" s="43">
        <f>IF(J67=1,IF(J68=0,IF(DAY(Simulation!$G$11)=1,0,DAY(Simulation!$G$11)-1),0),0)</f>
        <v>0</v>
      </c>
      <c r="M67" s="40">
        <f>IF(AND(J66=1,J67=1,J68=0,DAY(Simulation!$G$11)=1),0,IF(J67=1,IF(L67&lt;&gt;0,L67,C67),0))</f>
        <v>0</v>
      </c>
      <c r="N67" s="44">
        <f t="shared" si="2"/>
        <v>0</v>
      </c>
      <c r="O67" s="45">
        <f>IF($E$36=5,(($B$28*$B$12)/365)*$C67*$E$36*$F67*Simulation!$G$10,((($B$28*$B$12)/365)*$M67*Simulation!$G$10)+(($B$28*$B$12)/365)*$N67*$F67*Simulation!$G$10)</f>
        <v>0</v>
      </c>
      <c r="P67" s="46">
        <f>IF($E$36=5,(($B$29*$B$13)/365)*$C67*$E$36*$F67*Simulation!$G$10,((($B$29*$B$13)/365)*$M67*Simulation!$G$10)+(($B$29*$B$13)/365)*$N67*$F67*Simulation!$G$10)</f>
        <v>0</v>
      </c>
      <c r="Q67" s="79">
        <f>IF($E$36=5,($E$22/365)*$C67*$E$36*$F67*Simulation!$G$10,(($E$22/365)*$M67*Simulation!$G$10)+($E$22/365)*$N67*$F67*Simulation!$G$10)</f>
        <v>0</v>
      </c>
      <c r="R67" s="79">
        <f>IF($E$36=5,($E$23*$E$24/365)*$C67*$E$36*$F67*Simulation!$G$10,(($E$23*$E$24/365)*$M67*Simulation!$G$10)+($E$23*$E$24/365)*$N67*$F67*Simulation!$G$10)</f>
        <v>0</v>
      </c>
    </row>
    <row r="68" spans="1:18" s="2" customFormat="1" ht="15" x14ac:dyDescent="0.25">
      <c r="A68" s="37">
        <v>44075</v>
      </c>
      <c r="B68" s="38">
        <v>44075</v>
      </c>
      <c r="C68" s="39">
        <f>MAX(0,MIN(EOMONTH(B68,0),Simulation!$G$12)-MAX(B68,Simulation!$G$11)+1)</f>
        <v>0</v>
      </c>
      <c r="D68" s="197"/>
      <c r="E68" s="202"/>
      <c r="F68" s="39">
        <f>Parameters!B29</f>
        <v>0.9425</v>
      </c>
      <c r="G68" s="40">
        <f t="shared" ref="G68:G131" si="3">DAY(EOMONTH(A68,0))</f>
        <v>30</v>
      </c>
      <c r="H68" s="199"/>
      <c r="I68" s="41">
        <f>IF(Simulation!$G$12&gt;=$B$136,IF(AND(YEAR(Simulation!$G$11)=YEAR(A68),MONTH(A68)=MONTH(Simulation!$G$11)),1,0),0)</f>
        <v>0</v>
      </c>
      <c r="J68" s="42">
        <f>IF($H$36=0,0,IF($H$36=1,SUM(I56:I68),IF($H$36=2,SUM(I44:I68),IF($H$36=3,SUM(I32:I68),IF($H$36=4,SUM(I22:I68),"more than 4 years")))))</f>
        <v>0</v>
      </c>
      <c r="K68" s="43" t="str">
        <f t="shared" ref="K68:K95" si="4">IF((M68+N68)&lt;&gt;C68,"issue","ok")</f>
        <v>ok</v>
      </c>
      <c r="L68" s="43">
        <f>IF(J68=1,IF(J69=0,IF(DAY(Simulation!$G$11)=1,0,DAY(Simulation!$G$11)-1),0),0)</f>
        <v>0</v>
      </c>
      <c r="M68" s="40">
        <f>IF(AND(J67=1,J68=1,J69=0,DAY(Simulation!$G$11)=1),0,IF(J68=1,IF(L68&lt;&gt;0,L68,C68),0))</f>
        <v>0</v>
      </c>
      <c r="N68" s="44">
        <f t="shared" ref="N68:N95" si="5">MAX(0,C68-M68)</f>
        <v>0</v>
      </c>
      <c r="O68" s="45">
        <f>IF($E$36=5,(($B$28*$B$12)/365)*$C68*$E$36*$F68*Simulation!$G$10,((($B$28*$B$12)/365)*$M68*Simulation!$G$10)+(($B$28*$B$12)/365)*$N68*$F68*Simulation!$G$10)</f>
        <v>0</v>
      </c>
      <c r="P68" s="46">
        <f>IF($E$36=5,(($B$29*$B$13)/365)*$C68*$E$36*$F68*Simulation!$G$10,((($B$29*$B$13)/365)*$M68*Simulation!$G$10)+(($B$29*$B$13)/365)*$N68*$F68*Simulation!$G$10)</f>
        <v>0</v>
      </c>
      <c r="Q68" s="79">
        <f>IF($E$36=5,($E$22/365)*$C68*$E$36*$F68*Simulation!$G$10,(($E$22/365)*$M68*Simulation!$G$10)+($E$22/365)*$N68*$F68*Simulation!$G$10)</f>
        <v>0</v>
      </c>
      <c r="R68" s="79">
        <f>IF($E$36=5,($E$23*$E$24/365)*$C68*$E$36*$F68*Simulation!$G$10,(($E$23*$E$24/365)*$M68*Simulation!$G$10)+($E$23*$E$24/365)*$N68*$F68*Simulation!$G$10)</f>
        <v>0</v>
      </c>
    </row>
    <row r="69" spans="1:18" s="2" customFormat="1" ht="15" x14ac:dyDescent="0.25">
      <c r="A69" s="37">
        <v>44105</v>
      </c>
      <c r="B69" s="38">
        <v>44105</v>
      </c>
      <c r="C69" s="39">
        <f>MAX(0,MIN(EOMONTH(B69,0),Simulation!$G$12)-MAX(B69,Simulation!$G$11)+1)</f>
        <v>0</v>
      </c>
      <c r="D69" s="197"/>
      <c r="E69" s="202"/>
      <c r="F69" s="39">
        <f>Parameters!B30</f>
        <v>1.5225</v>
      </c>
      <c r="G69" s="40">
        <f t="shared" si="3"/>
        <v>31</v>
      </c>
      <c r="H69" s="199"/>
      <c r="I69" s="41">
        <f>IF(Simulation!$G$12&gt;=$B$136,IF(AND(YEAR(Simulation!$G$11)=YEAR(A69),MONTH(A69)=MONTH(Simulation!$G$11)),1,0),0)</f>
        <v>0</v>
      </c>
      <c r="J69" s="42">
        <f>IF($H$36=0,0,IF($H$36=1,SUM(I57:I69),IF($H$36=2,SUM(I45:I69),IF($H$36=3,SUM(I33:I69),IF($H$36=4,SUM(I23:I69),"more than 4 years")))))</f>
        <v>0</v>
      </c>
      <c r="K69" s="43" t="str">
        <f t="shared" si="4"/>
        <v>ok</v>
      </c>
      <c r="L69" s="43">
        <f>IF(J69=1,IF(J70=0,IF(DAY(Simulation!$G$11)=1,0,DAY(Simulation!$G$11)-1),0),0)</f>
        <v>0</v>
      </c>
      <c r="M69" s="40">
        <f>IF(AND(J68=1,J69=1,J70=0,DAY(Simulation!$G$11)=1),0,IF(J69=1,IF(L69&lt;&gt;0,L69,C69),0))</f>
        <v>0</v>
      </c>
      <c r="N69" s="44">
        <f t="shared" si="5"/>
        <v>0</v>
      </c>
      <c r="O69" s="45">
        <f>IF($E$36=5,(($B$28*$B$12)/365)*$C69*$E$36*$F69*Simulation!$G$10,((($B$28*$B$12)/365)*$M69*Simulation!$G$10)+(($B$28*$B$12)/365)*$N69*$F69*Simulation!$G$10)</f>
        <v>0</v>
      </c>
      <c r="P69" s="46">
        <f>IF($E$36=5,(($B$29*$B$13)/365)*$C69*$E$36*$F69*Simulation!$G$10,((($B$29*$B$13)/365)*$M69*Simulation!$G$10)+(($B$29*$B$13)/365)*$N69*$F69*Simulation!$G$10)</f>
        <v>0</v>
      </c>
      <c r="Q69" s="79">
        <f>IF($E$36=5,($E$22/365)*$C69*$E$36*$F69*Simulation!$G$10,(($E$22/365)*$M69*Simulation!$G$10)+($E$22/365)*$N69*$F69*Simulation!$G$10)</f>
        <v>0</v>
      </c>
      <c r="R69" s="79">
        <f>IF($E$36=5,($E$23*$E$24/365)*$C69*$E$36*$F69*Simulation!$G$10,(($E$23*$E$24/365)*$M69*Simulation!$G$10)+($E$23*$E$24/365)*$N69*$F69*Simulation!$G$10)</f>
        <v>0</v>
      </c>
    </row>
    <row r="70" spans="1:18" s="2" customFormat="1" ht="15" x14ac:dyDescent="0.25">
      <c r="A70" s="37">
        <v>44136</v>
      </c>
      <c r="B70" s="38">
        <v>44136</v>
      </c>
      <c r="C70" s="39">
        <f>MAX(0,MIN(EOMONTH(B70,0),Simulation!$G$12)-MAX(B70,Simulation!$G$11)+1)</f>
        <v>0</v>
      </c>
      <c r="D70" s="197"/>
      <c r="E70" s="202"/>
      <c r="F70" s="39">
        <f>Parameters!B31</f>
        <v>2.0299999999999998</v>
      </c>
      <c r="G70" s="40">
        <f t="shared" si="3"/>
        <v>30</v>
      </c>
      <c r="H70" s="199"/>
      <c r="I70" s="41">
        <f>IF(Simulation!$G$12&gt;=$B$136,IF(AND(YEAR(Simulation!$G$11)=YEAR(A70),MONTH(A70)=MONTH(Simulation!$G$11)),1,0),0)</f>
        <v>0</v>
      </c>
      <c r="J70" s="42">
        <f t="shared" ref="J70:J75" si="6">IF($H$36=0,0,IF($H$36=1,SUM(I58:I70),IF($H$36=2,SUM(I46:I70),IF($H$36=3,SUM(I34:I70),IF($H$36=4,SUM(I23:I70),"more than 4 years")))))</f>
        <v>0</v>
      </c>
      <c r="K70" s="43" t="str">
        <f t="shared" si="4"/>
        <v>ok</v>
      </c>
      <c r="L70" s="43">
        <f>IF(J70=1,IF(J71=0,IF(DAY(Simulation!$G$11)=1,0,DAY(Simulation!$G$11)-1),0),0)</f>
        <v>0</v>
      </c>
      <c r="M70" s="40">
        <f>IF(AND(J69=1,J70=1,J71=0,DAY(Simulation!$G$11)=1),0,IF(J70=1,IF(L70&lt;&gt;0,L70,C70),0))</f>
        <v>0</v>
      </c>
      <c r="N70" s="44">
        <f t="shared" si="5"/>
        <v>0</v>
      </c>
      <c r="O70" s="45">
        <f>IF($E$36=5,(($B$28*$B$12)/365)*$C70*$E$36*$F70*Simulation!$G$10,((($B$28*$B$12)/365)*$M70*Simulation!$G$10)+(($B$28*$B$12)/365)*$N70*$F70*Simulation!$G$10)</f>
        <v>0</v>
      </c>
      <c r="P70" s="46">
        <f>IF($E$36=5,(($B$29*$B$13)/365)*$C70*$E$36*$F70*Simulation!$G$10,((($B$29*$B$13)/365)*$M70*Simulation!$G$10)+(($B$29*$B$13)/365)*$N70*$F70*Simulation!$G$10)</f>
        <v>0</v>
      </c>
      <c r="Q70" s="79">
        <f>IF($E$36=5,($E$22/365)*$C70*$E$36*$F70*Simulation!$G$10,(($E$22/365)*$M70*Simulation!$G$10)+($E$22/365)*$N70*$F70*Simulation!$G$10)</f>
        <v>0</v>
      </c>
      <c r="R70" s="79">
        <f>IF($E$36=5,($E$23*$E$24/365)*$C70*$E$36*$F70*Simulation!$G$10,(($E$23*$E$24/365)*$M70*Simulation!$G$10)+($E$23*$E$24/365)*$N70*$F70*Simulation!$G$10)</f>
        <v>0</v>
      </c>
    </row>
    <row r="71" spans="1:18" s="2" customFormat="1" ht="15" x14ac:dyDescent="0.25">
      <c r="A71" s="37">
        <v>44166</v>
      </c>
      <c r="B71" s="38">
        <v>44166</v>
      </c>
      <c r="C71" s="39">
        <f>MAX(0,MIN(EOMONTH(B71,0),Simulation!$G$12)-MAX(B71,Simulation!$G$11)+1)</f>
        <v>0</v>
      </c>
      <c r="D71" s="197"/>
      <c r="E71" s="202"/>
      <c r="F71" s="39">
        <f>Parameters!B32</f>
        <v>2.3199999999999998</v>
      </c>
      <c r="G71" s="40">
        <f t="shared" si="3"/>
        <v>31</v>
      </c>
      <c r="H71" s="199"/>
      <c r="I71" s="41">
        <f>IF(Simulation!$G$12&gt;=$B$136,IF(AND(YEAR(Simulation!$G$11)=YEAR(A71),MONTH(A71)=MONTH(Simulation!$G$11)),1,0),0)</f>
        <v>0</v>
      </c>
      <c r="J71" s="42">
        <f t="shared" si="6"/>
        <v>0</v>
      </c>
      <c r="K71" s="43" t="str">
        <f t="shared" si="4"/>
        <v>ok</v>
      </c>
      <c r="L71" s="43">
        <f>IF(J71=1,IF(J72=0,IF(DAY(Simulation!$G$11)=1,0,DAY(Simulation!$G$11)-1),0),0)</f>
        <v>0</v>
      </c>
      <c r="M71" s="40">
        <f>IF(AND(J70=1,J71=1,J72=0,DAY(Simulation!$G$11)=1),0,IF(J71=1,IF(L71&lt;&gt;0,L71,C71),0))</f>
        <v>0</v>
      </c>
      <c r="N71" s="44">
        <f t="shared" si="5"/>
        <v>0</v>
      </c>
      <c r="O71" s="45">
        <f>IF($E$36=5,(($B$28*$B$12)/365)*$C71*$E$36*$F71*Simulation!$G$10,((($B$28*$B$12)/365)*$M71*Simulation!$G$10)+(($B$28*$B$12)/365)*$N71*$F71*Simulation!$G$10)</f>
        <v>0</v>
      </c>
      <c r="P71" s="46">
        <f>IF($E$36=5,(($B$29*$B$13)/365)*$C71*$E$36*$F71*Simulation!$G$10,((($B$29*$B$13)/365)*$M71*Simulation!$G$10)+(($B$29*$B$13)/365)*$N71*$F71*Simulation!$G$10)</f>
        <v>0</v>
      </c>
      <c r="Q71" s="79">
        <f>IF($E$36=5,($E$22/365)*$C71*$E$36*$F71*Simulation!$G$10,(($E$22/365)*$M71*Simulation!$G$10)+($E$22/365)*$N71*$F71*Simulation!$G$10)</f>
        <v>0</v>
      </c>
      <c r="R71" s="79">
        <f>IF($E$36=5,($E$23*$E$24/365)*$C71*$E$36*$F71*Simulation!$G$10,(($E$23*$E$24/365)*$M71*Simulation!$G$10)+($E$23*$E$24/365)*$N71*$F71*Simulation!$G$10)</f>
        <v>0</v>
      </c>
    </row>
    <row r="72" spans="1:18" s="2" customFormat="1" ht="15" x14ac:dyDescent="0.25">
      <c r="A72" s="37">
        <v>44197</v>
      </c>
      <c r="B72" s="38">
        <v>44197</v>
      </c>
      <c r="C72" s="39">
        <f>MAX(0,MIN(EOMONTH(B72,0),Simulation!$G$12)-MAX(B72,Simulation!$G$11)+1)</f>
        <v>0</v>
      </c>
      <c r="D72" s="197"/>
      <c r="E72" s="202"/>
      <c r="F72" s="39">
        <f>Parameters!B21</f>
        <v>2.5375000000000001</v>
      </c>
      <c r="G72" s="40">
        <f t="shared" si="3"/>
        <v>31</v>
      </c>
      <c r="H72" s="199"/>
      <c r="I72" s="41">
        <f>IF(Simulation!$G$12&gt;=$B$136,IF(AND(YEAR(Simulation!$G$11)=YEAR(A72),MONTH(A72)=MONTH(Simulation!$G$11)),1,0),0)</f>
        <v>0</v>
      </c>
      <c r="J72" s="42">
        <f t="shared" si="6"/>
        <v>0</v>
      </c>
      <c r="K72" s="43" t="str">
        <f t="shared" si="4"/>
        <v>ok</v>
      </c>
      <c r="L72" s="43">
        <f>IF(J72=1,IF(J73=0,IF(DAY(Simulation!$G$11)=1,0,DAY(Simulation!$G$11)-1),0),0)</f>
        <v>0</v>
      </c>
      <c r="M72" s="40">
        <f>IF(AND(J71=1,J72=1,J73=0,DAY(Simulation!$G$11)=1),0,IF(J72=1,IF(L72&lt;&gt;0,L72,C72),0))</f>
        <v>0</v>
      </c>
      <c r="N72" s="44">
        <f t="shared" si="5"/>
        <v>0</v>
      </c>
      <c r="O72" s="45">
        <f>IF($E$36=5,(($B$28*$B$12)/365)*$C72*$E$36*$F72*Simulation!$G$10,((($B$28*$B$12)/365)*$M72*Simulation!$G$10)+(($B$28*$B$12)/365)*$N72*$F72*Simulation!$G$10)</f>
        <v>0</v>
      </c>
      <c r="P72" s="46">
        <f>IF($E$36=5,(($B$29*$B$13)/365)*$C72*$E$36*$F72*Simulation!$G$10,((($B$29*$B$13)/365)*$M72*Simulation!$G$10)+(($B$29*$B$13)/365)*$N72*$F72*Simulation!$G$10)</f>
        <v>0</v>
      </c>
      <c r="Q72" s="79">
        <f>IF($E$36=5,($E$22/365)*$C72*$E$36*$F72*Simulation!$G$10,(($E$22/365)*$M72*Simulation!$G$10)+($E$22/365)*$N72*$F72*Simulation!$G$10)</f>
        <v>0</v>
      </c>
      <c r="R72" s="79">
        <f>IF($E$36=5,($E$23*$E$24/365)*$C72*$E$36*$F72*Simulation!$G$10,(($E$23*$E$24/365)*$M72*Simulation!$G$10)+($E$23*$E$24/365)*$N72*$F72*Simulation!$G$10)</f>
        <v>0</v>
      </c>
    </row>
    <row r="73" spans="1:18" s="2" customFormat="1" ht="15" x14ac:dyDescent="0.25">
      <c r="A73" s="37">
        <v>44228</v>
      </c>
      <c r="B73" s="38">
        <v>44228</v>
      </c>
      <c r="C73" s="39">
        <f>MAX(0,MIN(EOMONTH(B73,0),Simulation!$G$12)-MAX(B73,Simulation!$G$11)+1)</f>
        <v>0</v>
      </c>
      <c r="D73" s="197"/>
      <c r="E73" s="202"/>
      <c r="F73" s="39">
        <f>Parameters!B22</f>
        <v>2.2475000000000001</v>
      </c>
      <c r="G73" s="40">
        <f t="shared" si="3"/>
        <v>28</v>
      </c>
      <c r="H73" s="199"/>
      <c r="I73" s="41">
        <f>IF(Simulation!$G$12&gt;=$B$136,IF(AND(YEAR(Simulation!$G$11)=YEAR(A73),MONTH(A73)=MONTH(Simulation!$G$11)),1,0),0)</f>
        <v>0</v>
      </c>
      <c r="J73" s="42">
        <f t="shared" si="6"/>
        <v>0</v>
      </c>
      <c r="K73" s="43" t="str">
        <f t="shared" si="4"/>
        <v>ok</v>
      </c>
      <c r="L73" s="43">
        <f>IF(J73=1,IF(J74=0,IF(DAY(Simulation!$G$11)=1,0,DAY(Simulation!$G$11)-1),0),0)</f>
        <v>0</v>
      </c>
      <c r="M73" s="40">
        <f>IF(AND(J72=1,J73=1,J74=0,DAY(Simulation!$G$11)=1),0,IF(J73=1,IF(L73&lt;&gt;0,L73,C73),0))</f>
        <v>0</v>
      </c>
      <c r="N73" s="44">
        <f t="shared" si="5"/>
        <v>0</v>
      </c>
      <c r="O73" s="45">
        <f>IF($E$36=5,(($B$28*$B$12)/365)*$C73*$E$36*$F73*Simulation!$G$10,((($B$28*$B$12)/365)*$M73*Simulation!$G$10)+(($B$28*$B$12)/365)*$N73*$F73*Simulation!$G$10)</f>
        <v>0</v>
      </c>
      <c r="P73" s="46">
        <f>IF($E$36=5,(($B$29*$B$13)/365)*$C73*$E$36*$F73*Simulation!$G$10,((($B$29*$B$13)/365)*$M73*Simulation!$G$10)+(($B$29*$B$13)/365)*$N73*$F73*Simulation!$G$10)</f>
        <v>0</v>
      </c>
      <c r="Q73" s="79">
        <f>IF($E$36=5,($E$22/365)*$C73*$E$36*$F73*Simulation!$G$10,(($E$22/365)*$M73*Simulation!$G$10)+($E$22/365)*$N73*$F73*Simulation!$G$10)</f>
        <v>0</v>
      </c>
      <c r="R73" s="79">
        <f>IF($E$36=5,($E$23*$E$24/365)*$C73*$E$36*$F73*Simulation!$G$10,(($E$23*$E$24/365)*$M73*Simulation!$G$10)+($E$23*$E$24/365)*$N73*$F73*Simulation!$G$10)</f>
        <v>0</v>
      </c>
    </row>
    <row r="74" spans="1:18" s="2" customFormat="1" ht="15" x14ac:dyDescent="0.25">
      <c r="A74" s="37">
        <v>44256</v>
      </c>
      <c r="B74" s="38">
        <v>44256</v>
      </c>
      <c r="C74" s="39">
        <f>MAX(0,MIN(EOMONTH(B74,0),Simulation!$G$12)-MAX(B74,Simulation!$G$11)+1)</f>
        <v>0</v>
      </c>
      <c r="D74" s="197"/>
      <c r="E74" s="202"/>
      <c r="F74" s="39">
        <f>Parameters!B23</f>
        <v>1.885</v>
      </c>
      <c r="G74" s="40">
        <f t="shared" si="3"/>
        <v>31</v>
      </c>
      <c r="H74" s="199"/>
      <c r="I74" s="41">
        <f>IF(Simulation!$G$12&gt;=$B$136,IF(AND(YEAR(Simulation!$G$11)=YEAR(A74),MONTH(A74)=MONTH(Simulation!$G$11)),1,0),0)</f>
        <v>0</v>
      </c>
      <c r="J74" s="42">
        <f t="shared" si="6"/>
        <v>0</v>
      </c>
      <c r="K74" s="43" t="str">
        <f t="shared" si="4"/>
        <v>ok</v>
      </c>
      <c r="L74" s="43">
        <f>IF(J74=1,IF(J75=0,IF(DAY(Simulation!$G$11)=1,0,DAY(Simulation!$G$11)-1),0),0)</f>
        <v>0</v>
      </c>
      <c r="M74" s="40">
        <f>IF(AND(J73=1,J74=1,J75=0,DAY(Simulation!$G$11)=1),0,IF(J74=1,IF(L74&lt;&gt;0,L74,C74),0))</f>
        <v>0</v>
      </c>
      <c r="N74" s="44">
        <f t="shared" si="5"/>
        <v>0</v>
      </c>
      <c r="O74" s="45">
        <f>IF($E$36=5,(($B$28*$B$12)/365)*$C74*$E$36*$F74*Simulation!$G$10,((($B$28*$B$12)/365)*$M74*Simulation!$G$10)+(($B$28*$B$12)/365)*$N74*$F74*Simulation!$G$10)</f>
        <v>0</v>
      </c>
      <c r="P74" s="46">
        <f>IF($E$36=5,(($B$29*$B$13)/365)*$C74*$E$36*$F74*Simulation!$G$10,((($B$29*$B$13)/365)*$M74*Simulation!$G$10)+(($B$29*$B$13)/365)*$N74*$F74*Simulation!$G$10)</f>
        <v>0</v>
      </c>
      <c r="Q74" s="79">
        <f>IF($E$36=5,($E$22/365)*$C74*$E$36*$F74*Simulation!$G$10,(($E$22/365)*$M74*Simulation!$G$10)+($E$22/365)*$N74*$F74*Simulation!$G$10)</f>
        <v>0</v>
      </c>
      <c r="R74" s="79">
        <f>IF($E$36=5,($E$23*$E$24/365)*$C74*$E$36*$F74*Simulation!$G$10,(($E$23*$E$24/365)*$M74*Simulation!$G$10)+($E$23*$E$24/365)*$N74*$F74*Simulation!$G$10)</f>
        <v>0</v>
      </c>
    </row>
    <row r="75" spans="1:18" s="2" customFormat="1" ht="15" x14ac:dyDescent="0.25">
      <c r="A75" s="37">
        <v>44287</v>
      </c>
      <c r="B75" s="38">
        <v>44287</v>
      </c>
      <c r="C75" s="39">
        <f>MAX(0,MIN(EOMONTH(B75,0),Simulation!$G$12)-MAX(B75,Simulation!$G$11)+1)</f>
        <v>0</v>
      </c>
      <c r="D75" s="197"/>
      <c r="E75" s="202"/>
      <c r="F75" s="39">
        <f>Parameters!B24</f>
        <v>1.3774999999999999</v>
      </c>
      <c r="G75" s="40">
        <f t="shared" si="3"/>
        <v>30</v>
      </c>
      <c r="H75" s="199"/>
      <c r="I75" s="41">
        <f>IF(Simulation!$G$12&gt;=$B$136,IF(AND(YEAR(Simulation!$G$11)=YEAR(A75),MONTH(A75)=MONTH(Simulation!$G$11)),1,0),0)</f>
        <v>0</v>
      </c>
      <c r="J75" s="42">
        <f t="shared" si="6"/>
        <v>0</v>
      </c>
      <c r="K75" s="43" t="str">
        <f t="shared" si="4"/>
        <v>ok</v>
      </c>
      <c r="L75" s="43">
        <f>IF(J75=1,IF(J76=0,IF(DAY(Simulation!$G$11)=1,0,DAY(Simulation!$G$11)-1),0),0)</f>
        <v>0</v>
      </c>
      <c r="M75" s="40">
        <f>IF(AND(J74=1,J75=1,J76=0,DAY(Simulation!$G$11)=1),0,IF(J75=1,IF(L75&lt;&gt;0,L75,C75),0))</f>
        <v>0</v>
      </c>
      <c r="N75" s="44">
        <f t="shared" si="5"/>
        <v>0</v>
      </c>
      <c r="O75" s="45">
        <f>IF($E$36=5,(($B$28*$B$12)/365)*$C75*$E$36*$F75*Simulation!$G$10,((($B$28*$B$12)/365)*$M75*Simulation!$G$10)+(($B$28*$B$12)/365)*$N75*$F75*Simulation!$G$10)</f>
        <v>0</v>
      </c>
      <c r="P75" s="46">
        <f>IF($E$36=5,(($B$29*$B$13)/365)*$C75*$E$36*$F75*Simulation!$G$10,((($B$29*$B$13)/365)*$M75*Simulation!$G$10)+(($B$29*$B$13)/365)*$N75*$F75*Simulation!$G$10)</f>
        <v>0</v>
      </c>
      <c r="Q75" s="79">
        <f>IF($E$36=5,($E$22/365)*$C75*$E$36*$F75*Simulation!$G$10,(($E$22/365)*$M75*Simulation!$G$10)+($E$22/365)*$N75*$F75*Simulation!$G$10)</f>
        <v>0</v>
      </c>
      <c r="R75" s="79">
        <f>IF($E$36=5,($E$23*$E$24/365)*$C75*$E$36*$F75*Simulation!$G$10,(($E$23*$E$24/365)*$M75*Simulation!$G$10)+($E$23*$E$24/365)*$N75*$F75*Simulation!$G$10)</f>
        <v>0</v>
      </c>
    </row>
    <row r="76" spans="1:18" s="2" customFormat="1" ht="15" x14ac:dyDescent="0.25">
      <c r="A76" s="37">
        <v>44317</v>
      </c>
      <c r="B76" s="38">
        <v>44317</v>
      </c>
      <c r="C76" s="39">
        <f>MAX(0,MIN(EOMONTH(B76,0),Simulation!$G$12)-MAX(B76,Simulation!$G$11)+1)</f>
        <v>0</v>
      </c>
      <c r="D76" s="197"/>
      <c r="E76" s="202"/>
      <c r="F76" s="39">
        <f>Parameters!B25</f>
        <v>0.9425</v>
      </c>
      <c r="G76" s="40">
        <f t="shared" si="3"/>
        <v>31</v>
      </c>
      <c r="H76" s="199"/>
      <c r="I76" s="41">
        <f>IF(Simulation!$G$12&gt;=$B$136,IF(AND(YEAR(Simulation!$G$11)=YEAR(A76),MONTH(A76)=MONTH(Simulation!$G$11)),1,0),0)</f>
        <v>0</v>
      </c>
      <c r="J76" s="42">
        <f>IF($H$36=0,0,IF($H$36=1,SUM(I64:I76),IF($H$36=2,SUM(I52:I76),IF($H$36=3,SUM(I40:I76),IF($H$36=4,SUM(I30:I76),"more than 4 years")))))</f>
        <v>0</v>
      </c>
      <c r="K76" s="43" t="str">
        <f t="shared" si="4"/>
        <v>ok</v>
      </c>
      <c r="L76" s="43">
        <f>IF(J76=1,IF(J77=0,IF(DAY(Simulation!$G$11)=1,0,DAY(Simulation!$G$11)-1),0),0)</f>
        <v>0</v>
      </c>
      <c r="M76" s="40">
        <f>IF(AND(J75=1,J76=1,J77=0,DAY(Simulation!$G$11)=1),0,IF(J76=1,IF(L76&lt;&gt;0,L76,C76),0))</f>
        <v>0</v>
      </c>
      <c r="N76" s="44">
        <f t="shared" si="5"/>
        <v>0</v>
      </c>
      <c r="O76" s="45">
        <f>IF($E$36=5,(($B$28*$B$12)/365)*$C76*$E$36*$F76*Simulation!$G$10,((($B$28*$B$12)/365)*$M76*Simulation!$G$10)+(($B$28*$B$12)/365)*$N76*$F76*Simulation!$G$10)</f>
        <v>0</v>
      </c>
      <c r="P76" s="46">
        <f>IF($E$36=5,(($B$29*$B$13)/365)*$C76*$E$36*$F76*Simulation!$G$10,((($B$29*$B$13)/365)*$M76*Simulation!$G$10)+(($B$29*$B$13)/365)*$N76*$F76*Simulation!$G$10)</f>
        <v>0</v>
      </c>
      <c r="Q76" s="79">
        <f>IF($E$36=5,($E$22/365)*$C76*$E$36*$F76*Simulation!$G$10,(($E$22/365)*$M76*Simulation!$G$10)+($E$22/365)*$N76*$F76*Simulation!$G$10)</f>
        <v>0</v>
      </c>
      <c r="R76" s="79">
        <f>IF($E$36=5,($E$23*$E$24/365)*$C76*$E$36*$F76*Simulation!$G$10,(($E$23*$E$24/365)*$M76*Simulation!$G$10)+($E$23*$E$24/365)*$N76*$F76*Simulation!$G$10)</f>
        <v>0</v>
      </c>
    </row>
    <row r="77" spans="1:18" s="2" customFormat="1" ht="15" x14ac:dyDescent="0.25">
      <c r="A77" s="37">
        <v>44348</v>
      </c>
      <c r="B77" s="38">
        <v>44348</v>
      </c>
      <c r="C77" s="39">
        <f>MAX(0,MIN(EOMONTH(B77,0),Simulation!$G$12)-MAX(B77,Simulation!$G$11)+1)</f>
        <v>0</v>
      </c>
      <c r="D77" s="197"/>
      <c r="E77" s="202"/>
      <c r="F77" s="39">
        <f>Parameters!B26</f>
        <v>0.72499999999999998</v>
      </c>
      <c r="G77" s="40">
        <f t="shared" si="3"/>
        <v>30</v>
      </c>
      <c r="H77" s="199"/>
      <c r="I77" s="41">
        <f>IF(Simulation!$G$12&gt;=$B$136,IF(AND(YEAR(Simulation!$G$11)=YEAR(A77),MONTH(A77)=MONTH(Simulation!$G$11)),1,0),0)</f>
        <v>0</v>
      </c>
      <c r="J77" s="42">
        <f>IF($H$36=0,0,IF($H$36=1,SUM(I65:I77),IF($H$36=2,SUM(I53:I77),IF($H$36=3,SUM(I41:I77),IF($H$36=4,SUM(I30:I77),"more than 4 years")))))</f>
        <v>0</v>
      </c>
      <c r="K77" s="43" t="str">
        <f t="shared" si="4"/>
        <v>ok</v>
      </c>
      <c r="L77" s="43">
        <f>IF(J77=1,IF(J78=0,IF(DAY(Simulation!$G$11)=1,0,DAY(Simulation!$G$11)-1),0),0)</f>
        <v>0</v>
      </c>
      <c r="M77" s="40">
        <f>IF(AND(J76=1,J77=1,J78=0,DAY(Simulation!$G$11)=1),0,IF(J77=1,IF(L77&lt;&gt;0,L77,C77),0))</f>
        <v>0</v>
      </c>
      <c r="N77" s="44">
        <f t="shared" si="5"/>
        <v>0</v>
      </c>
      <c r="O77" s="45">
        <f>IF($E$36=5,(($B$28*$B$12)/365)*$C77*$E$36*$F77*Simulation!$G$10,((($B$28*$B$12)/365)*$M77*Simulation!$G$10)+(($B$28*$B$12)/365)*$N77*$F77*Simulation!$G$10)</f>
        <v>0</v>
      </c>
      <c r="P77" s="46">
        <f>IF($E$36=5,(($B$29*$B$13)/365)*$C77*$E$36*$F77*Simulation!$G$10,((($B$29*$B$13)/365)*$M77*Simulation!$G$10)+(($B$29*$B$13)/365)*$N77*$F77*Simulation!$G$10)</f>
        <v>0</v>
      </c>
      <c r="Q77" s="79">
        <f>IF($E$36=5,($E$22/365)*$C77*$E$36*$F77*Simulation!$G$10,(($E$22/365)*$M77*Simulation!$G$10)+($E$22/365)*$N77*$F77*Simulation!$G$10)</f>
        <v>0</v>
      </c>
      <c r="R77" s="79">
        <f>IF($E$36=5,($E$23*$E$24/365)*$C77*$E$36*$F77*Simulation!$G$10,(($E$23*$E$24/365)*$M77*Simulation!$G$10)+($E$23*$E$24/365)*$N77*$F77*Simulation!$G$10)</f>
        <v>0</v>
      </c>
    </row>
    <row r="78" spans="1:18" s="2" customFormat="1" ht="15" x14ac:dyDescent="0.25">
      <c r="A78" s="37">
        <v>44378</v>
      </c>
      <c r="B78" s="38">
        <v>44378</v>
      </c>
      <c r="C78" s="39">
        <f>MAX(0,MIN(EOMONTH(B78,0),Simulation!$G$12)-MAX(B78,Simulation!$G$11)+1)</f>
        <v>0</v>
      </c>
      <c r="D78" s="197"/>
      <c r="E78" s="202"/>
      <c r="F78" s="39">
        <f>Parameters!B27</f>
        <v>0.72499999999999998</v>
      </c>
      <c r="G78" s="40">
        <f t="shared" si="3"/>
        <v>31</v>
      </c>
      <c r="H78" s="199"/>
      <c r="I78" s="41">
        <f>IF(Simulation!$G$12&gt;=$B$136,IF(AND(YEAR(Simulation!$G$11)=YEAR(A78),MONTH(A78)=MONTH(Simulation!$G$11)),1,0),0)</f>
        <v>0</v>
      </c>
      <c r="J78" s="42">
        <f t="shared" ref="J78:J107" si="7">IF($H$36=0,0,IF($H$36=1,SUM(I66:I78),IF($H$36=2,SUM(I54:I78),IF($H$36=3,SUM(I42:I78),IF($H$36=4,SUM(I30:I78),"more than 4 years")))))</f>
        <v>0</v>
      </c>
      <c r="K78" s="43" t="str">
        <f t="shared" si="4"/>
        <v>ok</v>
      </c>
      <c r="L78" s="43">
        <f>IF(J78=1,IF(J79=0,IF(DAY(Simulation!$G$11)=1,0,DAY(Simulation!$G$11)-1),0),0)</f>
        <v>0</v>
      </c>
      <c r="M78" s="40">
        <f>IF(AND(J77=1,J78=1,J79=0,DAY(Simulation!$G$11)=1),0,IF(J78=1,IF(L78&lt;&gt;0,L78,C78),0))</f>
        <v>0</v>
      </c>
      <c r="N78" s="44">
        <f t="shared" si="5"/>
        <v>0</v>
      </c>
      <c r="O78" s="45">
        <f>IF($E$36=5,(($B$28*$B$12)/365)*$C78*$E$36*$F78*Simulation!$G$10,((($B$28*$B$12)/365)*$M78*Simulation!$G$10)+(($B$28*$B$12)/365)*$N78*$F78*Simulation!$G$10)</f>
        <v>0</v>
      </c>
      <c r="P78" s="46">
        <f>IF($E$36=5,(($B$29*$B$13)/365)*$C78*$E$36*$F78*Simulation!$G$10,((($B$29*$B$13)/365)*$M78*Simulation!$G$10)+(($B$29*$B$13)/365)*$N78*$F78*Simulation!$G$10)</f>
        <v>0</v>
      </c>
      <c r="Q78" s="79">
        <f>IF($E$36=5,($E$22/365)*$C78*$E$36*$F78*Simulation!$G$10,(($E$22/365)*$M78*Simulation!$G$10)+($E$22/365)*$N78*$F78*Simulation!$G$10)</f>
        <v>0</v>
      </c>
      <c r="R78" s="79">
        <f>IF($E$36=5,($E$23*$E$24/365)*$C78*$E$36*$F78*Simulation!$G$10,(($E$23*$E$24/365)*$M78*Simulation!$G$10)+($E$23*$E$24/365)*$N78*$F78*Simulation!$G$10)</f>
        <v>0</v>
      </c>
    </row>
    <row r="79" spans="1:18" s="2" customFormat="1" ht="15" x14ac:dyDescent="0.25">
      <c r="A79" s="37">
        <v>44409</v>
      </c>
      <c r="B79" s="38">
        <v>44409</v>
      </c>
      <c r="C79" s="39">
        <f>MAX(0,MIN(EOMONTH(B79,0),Simulation!$G$12)-MAX(B79,Simulation!$G$11)+1)</f>
        <v>0</v>
      </c>
      <c r="D79" s="197"/>
      <c r="E79" s="202"/>
      <c r="F79" s="39">
        <f>Parameters!B28</f>
        <v>0.72499999999999998</v>
      </c>
      <c r="G79" s="40">
        <f t="shared" si="3"/>
        <v>31</v>
      </c>
      <c r="H79" s="199"/>
      <c r="I79" s="41">
        <f>IF(Simulation!$G$12&gt;=$B$136,IF(AND(YEAR(Simulation!$G$11)=YEAR(A79),MONTH(A79)=MONTH(Simulation!$G$11)),1,0),0)</f>
        <v>0</v>
      </c>
      <c r="J79" s="42">
        <f t="shared" si="7"/>
        <v>0</v>
      </c>
      <c r="K79" s="43" t="str">
        <f t="shared" si="4"/>
        <v>ok</v>
      </c>
      <c r="L79" s="43">
        <f>IF(J79=1,IF(J80=0,IF(DAY(Simulation!$G$11)=1,0,DAY(Simulation!$G$11)-1),0),0)</f>
        <v>0</v>
      </c>
      <c r="M79" s="40">
        <f>IF(AND(J78=1,J79=1,J80=0,DAY(Simulation!$G$11)=1),0,IF(J79=1,IF(L79&lt;&gt;0,L79,C79),0))</f>
        <v>0</v>
      </c>
      <c r="N79" s="44">
        <f t="shared" si="5"/>
        <v>0</v>
      </c>
      <c r="O79" s="45">
        <f>IF($E$36=5,(($B$28*$B$12)/365)*$C79*$E$36*$F79*Simulation!$G$10,((($B$28*$B$12)/365)*$M79*Simulation!$G$10)+(($B$28*$B$12)/365)*$N79*$F79*Simulation!$G$10)</f>
        <v>0</v>
      </c>
      <c r="P79" s="46">
        <f>IF($E$36=5,(($B$29*$B$13)/365)*$C79*$E$36*$F79*Simulation!$G$10,((($B$29*$B$13)/365)*$M79*Simulation!$G$10)+(($B$29*$B$13)/365)*$N79*$F79*Simulation!$G$10)</f>
        <v>0</v>
      </c>
      <c r="Q79" s="79">
        <f>IF($E$36=5,($E$22/365)*$C79*$E$36*$F79*Simulation!$G$10,(($E$22/365)*$M79*Simulation!$G$10)+($E$22/365)*$N79*$F79*Simulation!$G$10)</f>
        <v>0</v>
      </c>
      <c r="R79" s="79">
        <f>IF($E$36=5,($E$23*$E$24/365)*$C79*$E$36*$F79*Simulation!$G$10,(($E$23*$E$24/365)*$M79*Simulation!$G$10)+($E$23*$E$24/365)*$N79*$F79*Simulation!$G$10)</f>
        <v>0</v>
      </c>
    </row>
    <row r="80" spans="1:18" s="2" customFormat="1" ht="15" x14ac:dyDescent="0.25">
      <c r="A80" s="37">
        <v>44440</v>
      </c>
      <c r="B80" s="38">
        <v>44440</v>
      </c>
      <c r="C80" s="39">
        <f>MAX(0,MIN(EOMONTH(B80,0),Simulation!$G$12)-MAX(B80,Simulation!$G$11)+1)</f>
        <v>0</v>
      </c>
      <c r="D80" s="197"/>
      <c r="E80" s="202"/>
      <c r="F80" s="39">
        <f>Parameters!B29</f>
        <v>0.9425</v>
      </c>
      <c r="G80" s="40">
        <f t="shared" si="3"/>
        <v>30</v>
      </c>
      <c r="H80" s="199"/>
      <c r="I80" s="41">
        <f>IF(Simulation!$G$12&gt;=$B$136,IF(AND(YEAR(Simulation!$G$11)=YEAR(A80),MONTH(A80)=MONTH(Simulation!$G$11)),1,0),0)</f>
        <v>0</v>
      </c>
      <c r="J80" s="42">
        <f t="shared" si="7"/>
        <v>0</v>
      </c>
      <c r="K80" s="43" t="str">
        <f t="shared" si="4"/>
        <v>ok</v>
      </c>
      <c r="L80" s="43">
        <f>IF(J80=1,IF(J81=0,IF(DAY(Simulation!$G$11)=1,0,DAY(Simulation!$G$11)-1),0),0)</f>
        <v>0</v>
      </c>
      <c r="M80" s="40">
        <f>IF(AND(J79=1,J80=1,J81=0,DAY(Simulation!$G$11)=1),0,IF(J80=1,IF(L80&lt;&gt;0,L80,C80),0))</f>
        <v>0</v>
      </c>
      <c r="N80" s="44">
        <f t="shared" si="5"/>
        <v>0</v>
      </c>
      <c r="O80" s="45">
        <f>IF($E$36=5,(($B$28*$B$12)/365)*$C80*$E$36*$F80*Simulation!$G$10,((($B$28*$B$12)/365)*$M80*Simulation!$G$10)+(($B$28*$B$12)/365)*$N80*$F80*Simulation!$G$10)</f>
        <v>0</v>
      </c>
      <c r="P80" s="46">
        <f>IF($E$36=5,(($B$29*$B$13)/365)*$C80*$E$36*$F80*Simulation!$G$10,((($B$29*$B$13)/365)*$M80*Simulation!$G$10)+(($B$29*$B$13)/365)*$N80*$F80*Simulation!$G$10)</f>
        <v>0</v>
      </c>
      <c r="Q80" s="79">
        <f>IF($E$36=5,($E$22/365)*$C80*$E$36*$F80*Simulation!$G$10,(($E$22/365)*$M80*Simulation!$G$10)+($E$22/365)*$N80*$F80*Simulation!$G$10)</f>
        <v>0</v>
      </c>
      <c r="R80" s="79">
        <f>IF($E$36=5,($E$23*$E$24/365)*$C80*$E$36*$F80*Simulation!$G$10,(($E$23*$E$24/365)*$M80*Simulation!$G$10)+($E$23*$E$24/365)*$N80*$F80*Simulation!$G$10)</f>
        <v>0</v>
      </c>
    </row>
    <row r="81" spans="1:18" s="2" customFormat="1" ht="15" x14ac:dyDescent="0.25">
      <c r="A81" s="37">
        <v>44470</v>
      </c>
      <c r="B81" s="38">
        <v>44470</v>
      </c>
      <c r="C81" s="39">
        <f>MAX(0,MIN(EOMONTH(B81,0),Simulation!$G$12)-MAX(B81,Simulation!$G$11)+1)</f>
        <v>0</v>
      </c>
      <c r="D81" s="197"/>
      <c r="E81" s="202"/>
      <c r="F81" s="39">
        <f>Parameters!B30</f>
        <v>1.5225</v>
      </c>
      <c r="G81" s="40">
        <f t="shared" si="3"/>
        <v>31</v>
      </c>
      <c r="H81" s="199"/>
      <c r="I81" s="41">
        <f>IF(Simulation!$G$12&gt;=$B$136,IF(AND(YEAR(Simulation!$G$11)=YEAR(A81),MONTH(A81)=MONTH(Simulation!$G$11)),1,0),0)</f>
        <v>0</v>
      </c>
      <c r="J81" s="42">
        <f t="shared" si="7"/>
        <v>0</v>
      </c>
      <c r="K81" s="43" t="str">
        <f t="shared" si="4"/>
        <v>ok</v>
      </c>
      <c r="L81" s="43">
        <f>IF(J81=1,IF(J82=0,IF(DAY(Simulation!$G$11)=1,0,DAY(Simulation!$G$11)-1),0),0)</f>
        <v>0</v>
      </c>
      <c r="M81" s="40">
        <f>IF(AND(J80=1,J81=1,J82=0,DAY(Simulation!$G$11)=1),0,IF(J81=1,IF(L81&lt;&gt;0,L81,C81),0))</f>
        <v>0</v>
      </c>
      <c r="N81" s="44">
        <f t="shared" si="5"/>
        <v>0</v>
      </c>
      <c r="O81" s="45">
        <f>IF($E$36=5,(($B$28*$B$12)/365)*$C81*$E$36*$F81*Simulation!$G$10,((($B$28*$B$12)/365)*$M81*Simulation!$G$10)+(($B$28*$B$12)/365)*$N81*$F81*Simulation!$G$10)</f>
        <v>0</v>
      </c>
      <c r="P81" s="46">
        <f>IF($E$36=5,(($B$29*$B$13)/365)*$C81*$E$36*$F81*Simulation!$G$10,((($B$29*$B$13)/365)*$M81*Simulation!$G$10)+(($B$29*$B$13)/365)*$N81*$F81*Simulation!$G$10)</f>
        <v>0</v>
      </c>
      <c r="Q81" s="79">
        <f>IF($E$36=5,($E$22/365)*$C81*$E$36*$F81*Simulation!$G$10,(($E$22/365)*$M81*Simulation!$G$10)+($E$22/365)*$N81*$F81*Simulation!$G$10)</f>
        <v>0</v>
      </c>
      <c r="R81" s="79">
        <f>IF($E$36=5,($E$23*$E$24/365)*$C81*$E$36*$F81*Simulation!$G$10,(($E$23*$E$24/365)*$M81*Simulation!$G$10)+($E$23*$E$24/365)*$N81*$F81*Simulation!$G$10)</f>
        <v>0</v>
      </c>
    </row>
    <row r="82" spans="1:18" s="2" customFormat="1" ht="15" x14ac:dyDescent="0.25">
      <c r="A82" s="37">
        <v>44501</v>
      </c>
      <c r="B82" s="38">
        <v>44501</v>
      </c>
      <c r="C82" s="39">
        <f>MAX(0,MIN(EOMONTH(B82,0),Simulation!$G$12)-MAX(B82,Simulation!$G$11)+1)</f>
        <v>0</v>
      </c>
      <c r="D82" s="197"/>
      <c r="E82" s="202"/>
      <c r="F82" s="39">
        <f>Parameters!B31</f>
        <v>2.0299999999999998</v>
      </c>
      <c r="G82" s="40">
        <f t="shared" si="3"/>
        <v>30</v>
      </c>
      <c r="H82" s="199"/>
      <c r="I82" s="41">
        <f>IF(Simulation!$G$12&gt;=$B$136,IF(AND(YEAR(Simulation!$G$11)=YEAR(A82),MONTH(A82)=MONTH(Simulation!$G$11)),1,0),0)</f>
        <v>0</v>
      </c>
      <c r="J82" s="42">
        <f t="shared" si="7"/>
        <v>0</v>
      </c>
      <c r="K82" s="43" t="str">
        <f t="shared" si="4"/>
        <v>ok</v>
      </c>
      <c r="L82" s="43">
        <f>IF(J82=1,IF(J83=0,IF(DAY(Simulation!$G$11)=1,0,DAY(Simulation!$G$11)-1),0),0)</f>
        <v>0</v>
      </c>
      <c r="M82" s="40">
        <f>IF(AND(J81=1,J82=1,J83=0,DAY(Simulation!$G$11)=1),0,IF(J82=1,IF(L82&lt;&gt;0,L82,C82),0))</f>
        <v>0</v>
      </c>
      <c r="N82" s="44">
        <f t="shared" si="5"/>
        <v>0</v>
      </c>
      <c r="O82" s="45">
        <f>IF($E$36=5,(($B$28*$B$12)/365)*$C82*$E$36*$F82*Simulation!$G$10,((($B$28*$B$12)/365)*$M82*Simulation!$G$10)+(($B$28*$B$12)/365)*$N82*$F82*Simulation!$G$10)</f>
        <v>0</v>
      </c>
      <c r="P82" s="46">
        <f>IF($E$36=5,(($B$29*$B$13)/365)*$C82*$E$36*$F82*Simulation!$G$10,((($B$29*$B$13)/365)*$M82*Simulation!$G$10)+(($B$29*$B$13)/365)*$N82*$F82*Simulation!$G$10)</f>
        <v>0</v>
      </c>
      <c r="Q82" s="79">
        <f>IF($E$36=5,($E$22/365)*$C82*$E$36*$F82*Simulation!$G$10,(($E$22/365)*$M82*Simulation!$G$10)+($E$22/365)*$N82*$F82*Simulation!$G$10)</f>
        <v>0</v>
      </c>
      <c r="R82" s="79">
        <f>IF($E$36=5,($E$23*$E$24/365)*$C82*$E$36*$F82*Simulation!$G$10,(($E$23*$E$24/365)*$M82*Simulation!$G$10)+($E$23*$E$24/365)*$N82*$F82*Simulation!$G$10)</f>
        <v>0</v>
      </c>
    </row>
    <row r="83" spans="1:18" s="2" customFormat="1" ht="15" x14ac:dyDescent="0.25">
      <c r="A83" s="37">
        <v>44531</v>
      </c>
      <c r="B83" s="38">
        <v>44531</v>
      </c>
      <c r="C83" s="39">
        <f>MAX(0,MIN(EOMONTH(B83,0),Simulation!$G$12)-MAX(B83,Simulation!$G$11)+1)</f>
        <v>0</v>
      </c>
      <c r="D83" s="197"/>
      <c r="E83" s="202"/>
      <c r="F83" s="39">
        <f>Parameters!B32</f>
        <v>2.3199999999999998</v>
      </c>
      <c r="G83" s="40">
        <f t="shared" si="3"/>
        <v>31</v>
      </c>
      <c r="H83" s="199"/>
      <c r="I83" s="41">
        <f>IF(Simulation!$G$12&gt;=$B$136,IF(AND(YEAR(Simulation!$G$11)=YEAR(A83),MONTH(A83)=MONTH(Simulation!$G$11)),1,0),0)</f>
        <v>0</v>
      </c>
      <c r="J83" s="42">
        <f t="shared" si="7"/>
        <v>0</v>
      </c>
      <c r="K83" s="43" t="str">
        <f t="shared" si="4"/>
        <v>ok</v>
      </c>
      <c r="L83" s="43">
        <f>IF(J83=1,IF(J84=0,IF(DAY(Simulation!$G$11)=1,0,DAY(Simulation!$G$11)-1),0),0)</f>
        <v>0</v>
      </c>
      <c r="M83" s="40">
        <f>IF(AND(J82=1,J83=1,J84=0,DAY(Simulation!$G$11)=1),0,IF(J83=1,IF(L83&lt;&gt;0,L83,C83),0))</f>
        <v>0</v>
      </c>
      <c r="N83" s="44">
        <f t="shared" si="5"/>
        <v>0</v>
      </c>
      <c r="O83" s="45">
        <f>IF($E$36=5,(($B$28*$B$12)/365)*$C83*$E$36*$F83*Simulation!$G$10,((($B$28*$B$12)/365)*$M83*Simulation!$G$10)+(($B$28*$B$12)/365)*$N83*$F83*Simulation!$G$10)</f>
        <v>0</v>
      </c>
      <c r="P83" s="46">
        <f>IF($E$36=5,(($B$29*$B$13)/365)*$C83*$E$36*$F83*Simulation!$G$10,((($B$29*$B$13)/365)*$M83*Simulation!$G$10)+(($B$29*$B$13)/365)*$N83*$F83*Simulation!$G$10)</f>
        <v>0</v>
      </c>
      <c r="Q83" s="79">
        <f>IF($E$36=5,($E$22/365)*$C83*$E$36*$F83*Simulation!$G$10,(($E$22/365)*$M83*Simulation!$G$10)+($E$22/365)*$N83*$F83*Simulation!$G$10)</f>
        <v>0</v>
      </c>
      <c r="R83" s="79">
        <f>IF($E$36=5,($E$23*$E$24/365)*$C83*$E$36*$F83*Simulation!$G$10,(($E$23*$E$24/365)*$M83*Simulation!$G$10)+($E$23*$E$24/365)*$N83*$F83*Simulation!$G$10)</f>
        <v>0</v>
      </c>
    </row>
    <row r="84" spans="1:18" s="2" customFormat="1" ht="15" x14ac:dyDescent="0.25">
      <c r="A84" s="37">
        <v>44562</v>
      </c>
      <c r="B84" s="38">
        <v>44562</v>
      </c>
      <c r="C84" s="39">
        <f>MAX(0,MIN(EOMONTH(B84,0),Simulation!$G$12)-MAX(B84,Simulation!$G$11)+1)</f>
        <v>0</v>
      </c>
      <c r="D84" s="197"/>
      <c r="E84" s="202"/>
      <c r="F84" s="39">
        <f>Parameters!B21</f>
        <v>2.5375000000000001</v>
      </c>
      <c r="G84" s="40">
        <f t="shared" si="3"/>
        <v>31</v>
      </c>
      <c r="H84" s="199"/>
      <c r="I84" s="41">
        <f>IF(Simulation!$G$12&gt;=$B$136,IF(AND(YEAR(Simulation!$G$11)=YEAR(A84),MONTH(A84)=MONTH(Simulation!$G$11)),1,0),0)</f>
        <v>0</v>
      </c>
      <c r="J84" s="42">
        <f t="shared" si="7"/>
        <v>0</v>
      </c>
      <c r="K84" s="43" t="str">
        <f t="shared" si="4"/>
        <v>ok</v>
      </c>
      <c r="L84" s="43">
        <f>IF(J84=1,IF(J85=0,IF(DAY(Simulation!$G$11)=1,0,DAY(Simulation!$G$11)-1),0),0)</f>
        <v>0</v>
      </c>
      <c r="M84" s="40">
        <f>IF(AND(J83=1,J84=1,J85=0,DAY(Simulation!$G$11)=1),0,IF(J84=1,IF(L84&lt;&gt;0,L84,C84),0))</f>
        <v>0</v>
      </c>
      <c r="N84" s="44">
        <f t="shared" si="5"/>
        <v>0</v>
      </c>
      <c r="O84" s="45">
        <f>IF($E$36=5,(($B$28*$B$12)/365)*$C84*$E$36*$F84*Simulation!$G$10,((($B$28*$B$12)/365)*$M84*Simulation!$G$10)+(($B$28*$B$12)/365)*$N84*$F84*Simulation!$G$10)</f>
        <v>0</v>
      </c>
      <c r="P84" s="46">
        <f>IF($E$36=5,(($B$29*$B$13)/365)*$C84*$E$36*$F84*Simulation!$G$10,((($B$29*$B$13)/365)*$M84*Simulation!$G$10)+(($B$29*$B$13)/365)*$N84*$F84*Simulation!$G$10)</f>
        <v>0</v>
      </c>
      <c r="Q84" s="79">
        <f>IF($E$36=5,($E$22/365)*$C84*$E$36*$F84*Simulation!$G$10,(($E$22/365)*$M84*Simulation!$G$10)+($E$22/365)*$N84*$F84*Simulation!$G$10)</f>
        <v>0</v>
      </c>
      <c r="R84" s="79">
        <f>IF($E$36=5,($E$23*$E$24/365)*$C84*$E$36*$F84*Simulation!$G$10,(($E$23*$E$24/365)*$M84*Simulation!$G$10)+($E$23*$E$24/365)*$N84*$F84*Simulation!$G$10)</f>
        <v>0</v>
      </c>
    </row>
    <row r="85" spans="1:18" s="2" customFormat="1" ht="15" x14ac:dyDescent="0.25">
      <c r="A85" s="37">
        <v>44593</v>
      </c>
      <c r="B85" s="38">
        <v>44593</v>
      </c>
      <c r="C85" s="39">
        <f>MAX(0,MIN(EOMONTH(B85,0),Simulation!$G$12)-MAX(B85,Simulation!$G$11)+1)</f>
        <v>0</v>
      </c>
      <c r="D85" s="197"/>
      <c r="E85" s="202"/>
      <c r="F85" s="39">
        <f>Parameters!B22</f>
        <v>2.2475000000000001</v>
      </c>
      <c r="G85" s="40">
        <f t="shared" si="3"/>
        <v>28</v>
      </c>
      <c r="H85" s="199"/>
      <c r="I85" s="41">
        <f>IF(Simulation!$G$12&gt;=$B$136,IF(AND(YEAR(Simulation!$G$11)=YEAR(A85),MONTH(A85)=MONTH(Simulation!$G$11)),1,0),0)</f>
        <v>0</v>
      </c>
      <c r="J85" s="42">
        <f t="shared" si="7"/>
        <v>0</v>
      </c>
      <c r="K85" s="43" t="str">
        <f t="shared" si="4"/>
        <v>ok</v>
      </c>
      <c r="L85" s="43">
        <f>IF(J85=1,IF(J86=0,IF(DAY(Simulation!$G$11)=1,0,DAY(Simulation!$G$11)-1),0),0)</f>
        <v>0</v>
      </c>
      <c r="M85" s="40">
        <f>IF(AND(J84=1,J85=1,J86=0,DAY(Simulation!$G$11)=1),0,IF(J85=1,IF(L85&lt;&gt;0,L85,C85),0))</f>
        <v>0</v>
      </c>
      <c r="N85" s="44">
        <f t="shared" si="5"/>
        <v>0</v>
      </c>
      <c r="O85" s="45">
        <f>IF($E$36=5,(($B$28*$B$12)/365)*$C85*$E$36*$F85*Simulation!$G$10,((($B$28*$B$12)/365)*$M85*Simulation!$G$10)+(($B$28*$B$12)/365)*$N85*$F85*Simulation!$G$10)</f>
        <v>0</v>
      </c>
      <c r="P85" s="46">
        <f>IF($E$36=5,(($B$29*$B$13)/365)*$C85*$E$36*$F85*Simulation!$G$10,((($B$29*$B$13)/365)*$M85*Simulation!$G$10)+(($B$29*$B$13)/365)*$N85*$F85*Simulation!$G$10)</f>
        <v>0</v>
      </c>
      <c r="Q85" s="79">
        <f>IF($E$36=5,($E$22/365)*$C85*$E$36*$F85*Simulation!$G$10,(($E$22/365)*$M85*Simulation!$G$10)+($E$22/365)*$N85*$F85*Simulation!$G$10)</f>
        <v>0</v>
      </c>
      <c r="R85" s="79">
        <f>IF($E$36=5,($E$23*$E$24/365)*$C85*$E$36*$F85*Simulation!$G$10,(($E$23*$E$24/365)*$M85*Simulation!$G$10)+($E$23*$E$24/365)*$N85*$F85*Simulation!$G$10)</f>
        <v>0</v>
      </c>
    </row>
    <row r="86" spans="1:18" s="2" customFormat="1" ht="15" x14ac:dyDescent="0.25">
      <c r="A86" s="37">
        <v>44621</v>
      </c>
      <c r="B86" s="38">
        <v>44621</v>
      </c>
      <c r="C86" s="39">
        <f>MAX(0,MIN(EOMONTH(B86,0),Simulation!$G$12)-MAX(B86,Simulation!$G$11)+1)</f>
        <v>0</v>
      </c>
      <c r="D86" s="197"/>
      <c r="E86" s="202"/>
      <c r="F86" s="39">
        <f>Parameters!B23</f>
        <v>1.885</v>
      </c>
      <c r="G86" s="40">
        <f t="shared" si="3"/>
        <v>31</v>
      </c>
      <c r="H86" s="199"/>
      <c r="I86" s="41">
        <f>IF(Simulation!$G$12&gt;=$B$136,IF(AND(YEAR(Simulation!$G$11)=YEAR(A86),MONTH(A86)=MONTH(Simulation!$G$11)),1,0),0)</f>
        <v>0</v>
      </c>
      <c r="J86" s="42">
        <f t="shared" si="7"/>
        <v>0</v>
      </c>
      <c r="K86" s="43" t="str">
        <f t="shared" si="4"/>
        <v>ok</v>
      </c>
      <c r="L86" s="43">
        <f>IF(J86=1,IF(J87=0,IF(DAY(Simulation!$G$11)=1,0,DAY(Simulation!$G$11)-1),0),0)</f>
        <v>0</v>
      </c>
      <c r="M86" s="40">
        <f>IF(AND(J85=1,J86=1,J87=0,DAY(Simulation!$G$11)=1),0,IF(J86=1,IF(L86&lt;&gt;0,L86,C86),0))</f>
        <v>0</v>
      </c>
      <c r="N86" s="44">
        <f t="shared" si="5"/>
        <v>0</v>
      </c>
      <c r="O86" s="45">
        <f>IF($E$36=5,(($B$28*$B$12)/365)*$C86*$E$36*$F86*Simulation!$G$10,((($B$28*$B$12)/365)*$M86*Simulation!$G$10)+(($B$28*$B$12)/365)*$N86*$F86*Simulation!$G$10)</f>
        <v>0</v>
      </c>
      <c r="P86" s="46">
        <f>IF($E$36=5,(($B$29*$B$13)/365)*$C86*$E$36*$F86*Simulation!$G$10,((($B$29*$B$13)/365)*$M86*Simulation!$G$10)+(($B$29*$B$13)/365)*$N86*$F86*Simulation!$G$10)</f>
        <v>0</v>
      </c>
      <c r="Q86" s="79">
        <f>IF($E$36=5,($E$22/365)*$C86*$E$36*$F86*Simulation!$G$10,(($E$22/365)*$M86*Simulation!$G$10)+($E$22/365)*$N86*$F86*Simulation!$G$10)</f>
        <v>0</v>
      </c>
      <c r="R86" s="79">
        <f>IF($E$36=5,($E$23*$E$24/365)*$C86*$E$36*$F86*Simulation!$G$10,(($E$23*$E$24/365)*$M86*Simulation!$G$10)+($E$23*$E$24/365)*$N86*$F86*Simulation!$G$10)</f>
        <v>0</v>
      </c>
    </row>
    <row r="87" spans="1:18" s="2" customFormat="1" ht="15" x14ac:dyDescent="0.25">
      <c r="A87" s="37">
        <v>44652</v>
      </c>
      <c r="B87" s="38">
        <v>44652</v>
      </c>
      <c r="C87" s="39">
        <f>MAX(0,MIN(EOMONTH(B87,0),Simulation!$G$12)-MAX(B87,Simulation!$G$11)+1)</f>
        <v>0</v>
      </c>
      <c r="D87" s="197"/>
      <c r="E87" s="202"/>
      <c r="F87" s="39">
        <f>Parameters!B24</f>
        <v>1.3774999999999999</v>
      </c>
      <c r="G87" s="40">
        <f t="shared" si="3"/>
        <v>30</v>
      </c>
      <c r="H87" s="199"/>
      <c r="I87" s="41">
        <f>IF(Simulation!$G$12&gt;=$B$136,IF(AND(YEAR(Simulation!$G$11)=YEAR(A87),MONTH(A87)=MONTH(Simulation!$G$11)),1,0),0)</f>
        <v>0</v>
      </c>
      <c r="J87" s="42">
        <f t="shared" si="7"/>
        <v>0</v>
      </c>
      <c r="K87" s="43" t="str">
        <f t="shared" si="4"/>
        <v>ok</v>
      </c>
      <c r="L87" s="43">
        <f>IF(J87=1,IF(J88=0,IF(DAY(Simulation!$G$11)=1,0,DAY(Simulation!$G$11)-1),0),0)</f>
        <v>0</v>
      </c>
      <c r="M87" s="40">
        <f>IF(AND(J86=1,J87=1,J88=0,DAY(Simulation!$G$11)=1),0,IF(J87=1,IF(L87&lt;&gt;0,L87,C87),0))</f>
        <v>0</v>
      </c>
      <c r="N87" s="44">
        <f t="shared" si="5"/>
        <v>0</v>
      </c>
      <c r="O87" s="45">
        <f>IF($E$36=5,(($B$28*$B$12)/365)*$C87*$E$36*$F87*Simulation!$G$10,((($B$28*$B$12)/365)*$M87*Simulation!$G$10)+(($B$28*$B$12)/365)*$N87*$F87*Simulation!$G$10)</f>
        <v>0</v>
      </c>
      <c r="P87" s="46">
        <f>IF($E$36=5,(($B$29*$B$13)/365)*$C87*$E$36*$F87*Simulation!$G$10,((($B$29*$B$13)/365)*$M87*Simulation!$G$10)+(($B$29*$B$13)/365)*$N87*$F87*Simulation!$G$10)</f>
        <v>0</v>
      </c>
      <c r="Q87" s="79">
        <f>IF($E$36=5,($E$22/365)*$C87*$E$36*$F87*Simulation!$G$10,(($E$22/365)*$M87*Simulation!$G$10)+($E$22/365)*$N87*$F87*Simulation!$G$10)</f>
        <v>0</v>
      </c>
      <c r="R87" s="79">
        <f>IF($E$36=5,($E$23*$E$24/365)*$C87*$E$36*$F87*Simulation!$G$10,(($E$23*$E$24/365)*$M87*Simulation!$G$10)+($E$23*$E$24/365)*$N87*$F87*Simulation!$G$10)</f>
        <v>0</v>
      </c>
    </row>
    <row r="88" spans="1:18" s="2" customFormat="1" ht="15" x14ac:dyDescent="0.25">
      <c r="A88" s="37">
        <v>44682</v>
      </c>
      <c r="B88" s="38">
        <v>44682</v>
      </c>
      <c r="C88" s="39">
        <f>MAX(0,MIN(EOMONTH(B88,0),Simulation!$G$12)-MAX(B88,Simulation!$G$11)+1)</f>
        <v>0</v>
      </c>
      <c r="D88" s="197"/>
      <c r="E88" s="202"/>
      <c r="F88" s="39">
        <f>Parameters!B25</f>
        <v>0.9425</v>
      </c>
      <c r="G88" s="40">
        <f t="shared" si="3"/>
        <v>31</v>
      </c>
      <c r="H88" s="199"/>
      <c r="I88" s="41">
        <f>IF(Simulation!$G$12&gt;=$B$136,IF(AND(YEAR(Simulation!$G$11)=YEAR(A88),MONTH(A88)=MONTH(Simulation!$G$11)),1,0),0)</f>
        <v>0</v>
      </c>
      <c r="J88" s="42">
        <f t="shared" si="7"/>
        <v>0</v>
      </c>
      <c r="K88" s="43" t="str">
        <f t="shared" si="4"/>
        <v>ok</v>
      </c>
      <c r="L88" s="43">
        <f>IF(J88=1,IF(J89=0,IF(DAY(Simulation!$G$11)=1,0,DAY(Simulation!$G$11)-1),0),0)</f>
        <v>0</v>
      </c>
      <c r="M88" s="40">
        <f>IF(AND(J87=1,J88=1,J89=0,DAY(Simulation!$G$11)=1),0,IF(J88=1,IF(L88&lt;&gt;0,L88,C88),0))</f>
        <v>0</v>
      </c>
      <c r="N88" s="44">
        <f t="shared" si="5"/>
        <v>0</v>
      </c>
      <c r="O88" s="45">
        <f>IF($E$36=5,(($B$28*$B$12)/365)*$C88*$E$36*$F88*Simulation!$G$10,((($B$28*$B$12)/365)*$M88*Simulation!$G$10)+(($B$28*$B$12)/365)*$N88*$F88*Simulation!$G$10)</f>
        <v>0</v>
      </c>
      <c r="P88" s="46">
        <f>IF($E$36=5,(($B$29*$B$13)/365)*$C88*$E$36*$F88*Simulation!$G$10,((($B$29*$B$13)/365)*$M88*Simulation!$G$10)+(($B$29*$B$13)/365)*$N88*$F88*Simulation!$G$10)</f>
        <v>0</v>
      </c>
      <c r="Q88" s="79">
        <f>IF($E$36=5,($E$22/365)*$C88*$E$36*$F88*Simulation!$G$10,(($E$22/365)*$M88*Simulation!$G$10)+($E$22/365)*$N88*$F88*Simulation!$G$10)</f>
        <v>0</v>
      </c>
      <c r="R88" s="79">
        <f>IF($E$36=5,($E$23*$E$24/365)*$C88*$E$36*$F88*Simulation!$G$10,(($E$23*$E$24/365)*$M88*Simulation!$G$10)+($E$23*$E$24/365)*$N88*$F88*Simulation!$G$10)</f>
        <v>0</v>
      </c>
    </row>
    <row r="89" spans="1:18" s="2" customFormat="1" ht="15" x14ac:dyDescent="0.25">
      <c r="A89" s="37">
        <v>44713</v>
      </c>
      <c r="B89" s="38">
        <v>44713</v>
      </c>
      <c r="C89" s="39">
        <f>MAX(0,MIN(EOMONTH(B89,0),Simulation!$G$12)-MAX(B89,Simulation!$G$11)+1)</f>
        <v>0</v>
      </c>
      <c r="D89" s="197"/>
      <c r="E89" s="202"/>
      <c r="F89" s="39">
        <f>Parameters!B26</f>
        <v>0.72499999999999998</v>
      </c>
      <c r="G89" s="40">
        <f t="shared" si="3"/>
        <v>30</v>
      </c>
      <c r="H89" s="199"/>
      <c r="I89" s="41">
        <f>IF(Simulation!$G$12&gt;=$B$136,IF(AND(YEAR(Simulation!$G$11)=YEAR(A89),MONTH(A89)=MONTH(Simulation!$G$11)),1,0),0)</f>
        <v>0</v>
      </c>
      <c r="J89" s="42">
        <f t="shared" si="7"/>
        <v>0</v>
      </c>
      <c r="K89" s="43" t="str">
        <f t="shared" si="4"/>
        <v>ok</v>
      </c>
      <c r="L89" s="43">
        <f>IF(J89=1,IF(J90=0,IF(DAY(Simulation!$G$11)=1,0,DAY(Simulation!$G$11)-1),0),0)</f>
        <v>0</v>
      </c>
      <c r="M89" s="40">
        <f>IF(AND(J88=1,J89=1,J90=0,DAY(Simulation!$G$11)=1),0,IF(J89=1,IF(L89&lt;&gt;0,L89,C89),0))</f>
        <v>0</v>
      </c>
      <c r="N89" s="44">
        <f t="shared" si="5"/>
        <v>0</v>
      </c>
      <c r="O89" s="45">
        <f>IF($E$36=5,(($B$28*$B$12)/365)*$C89*$E$36*$F89*Simulation!$G$10,((($B$28*$B$12)/365)*$M89*Simulation!$G$10)+(($B$28*$B$12)/365)*$N89*$F89*Simulation!$G$10)</f>
        <v>0</v>
      </c>
      <c r="P89" s="46">
        <f>IF($E$36=5,(($B$29*$B$13)/365)*$C89*$E$36*$F89*Simulation!$G$10,((($B$29*$B$13)/365)*$M89*Simulation!$G$10)+(($B$29*$B$13)/365)*$N89*$F89*Simulation!$G$10)</f>
        <v>0</v>
      </c>
      <c r="Q89" s="79">
        <f>IF($E$36=5,($E$22/365)*$C89*$E$36*$F89*Simulation!$G$10,(($E$22/365)*$M89*Simulation!$G$10)+($E$22/365)*$N89*$F89*Simulation!$G$10)</f>
        <v>0</v>
      </c>
      <c r="R89" s="79">
        <f>IF($E$36=5,($E$23*$E$24/365)*$C89*$E$36*$F89*Simulation!$G$10,(($E$23*$E$24/365)*$M89*Simulation!$G$10)+($E$23*$E$24/365)*$N89*$F89*Simulation!$G$10)</f>
        <v>0</v>
      </c>
    </row>
    <row r="90" spans="1:18" s="2" customFormat="1" ht="15" x14ac:dyDescent="0.25">
      <c r="A90" s="37">
        <v>44743</v>
      </c>
      <c r="B90" s="38">
        <v>44743</v>
      </c>
      <c r="C90" s="39">
        <f>MAX(0,MIN(EOMONTH(B90,0),Simulation!$G$12)-MAX(B90,Simulation!$G$11)+1)</f>
        <v>0</v>
      </c>
      <c r="D90" s="197"/>
      <c r="E90" s="202"/>
      <c r="F90" s="39">
        <f>Parameters!B27</f>
        <v>0.72499999999999998</v>
      </c>
      <c r="G90" s="40">
        <f t="shared" si="3"/>
        <v>31</v>
      </c>
      <c r="H90" s="199"/>
      <c r="I90" s="41">
        <f>IF(Simulation!$G$12&gt;=$B$136,IF(AND(YEAR(Simulation!$G$11)=YEAR(A90),MONTH(A90)=MONTH(Simulation!$G$11)),1,0),0)</f>
        <v>0</v>
      </c>
      <c r="J90" s="42">
        <f t="shared" si="7"/>
        <v>0</v>
      </c>
      <c r="K90" s="43" t="str">
        <f t="shared" si="4"/>
        <v>ok</v>
      </c>
      <c r="L90" s="43">
        <f>IF(J90=1,IF(J91=0,IF(DAY(Simulation!$G$11)=1,0,DAY(Simulation!$G$11)-1),0),0)</f>
        <v>0</v>
      </c>
      <c r="M90" s="40">
        <f>IF(AND(J89=1,J90=1,J91=0,DAY(Simulation!$G$11)=1),0,IF(J90=1,IF(L90&lt;&gt;0,L90,C90),0))</f>
        <v>0</v>
      </c>
      <c r="N90" s="44">
        <f t="shared" si="5"/>
        <v>0</v>
      </c>
      <c r="O90" s="45">
        <f>IF($E$36=5,(($B$28*$B$12)/365)*$C90*$E$36*$F90*Simulation!$G$10,((($B$28*$B$12)/365)*$M90*Simulation!$G$10)+(($B$28*$B$12)/365)*$N90*$F90*Simulation!$G$10)</f>
        <v>0</v>
      </c>
      <c r="P90" s="46">
        <f>IF($E$36=5,(($B$29*$B$13)/365)*$C90*$E$36*$F90*Simulation!$G$10,((($B$29*$B$13)/365)*$M90*Simulation!$G$10)+(($B$29*$B$13)/365)*$N90*$F90*Simulation!$G$10)</f>
        <v>0</v>
      </c>
      <c r="Q90" s="79">
        <f>IF($E$36=5,($E$22/365)*$C90*$E$36*$F90*Simulation!$G$10,(($E$22/365)*$M90*Simulation!$G$10)+($E$22/365)*$N90*$F90*Simulation!$G$10)</f>
        <v>0</v>
      </c>
      <c r="R90" s="79">
        <f>IF($E$36=5,($E$23*$E$24/365)*$C90*$E$36*$F90*Simulation!$G$10,(($E$23*$E$24/365)*$M90*Simulation!$G$10)+($E$23*$E$24/365)*$N90*$F90*Simulation!$G$10)</f>
        <v>0</v>
      </c>
    </row>
    <row r="91" spans="1:18" s="2" customFormat="1" ht="15" x14ac:dyDescent="0.25">
      <c r="A91" s="37">
        <v>44774</v>
      </c>
      <c r="B91" s="38">
        <v>44774</v>
      </c>
      <c r="C91" s="39">
        <f>MAX(0,MIN(EOMONTH(B91,0),Simulation!$G$12)-MAX(B91,Simulation!$G$11)+1)</f>
        <v>0</v>
      </c>
      <c r="D91" s="197"/>
      <c r="E91" s="202"/>
      <c r="F91" s="39">
        <f>Parameters!B28</f>
        <v>0.72499999999999998</v>
      </c>
      <c r="G91" s="40">
        <f t="shared" si="3"/>
        <v>31</v>
      </c>
      <c r="H91" s="199"/>
      <c r="I91" s="41">
        <f>IF(Simulation!$G$12&gt;=$B$136,IF(AND(YEAR(Simulation!$G$11)=YEAR(A91),MONTH(A91)=MONTH(Simulation!$G$11)),1,0),0)</f>
        <v>0</v>
      </c>
      <c r="J91" s="42">
        <f t="shared" si="7"/>
        <v>0</v>
      </c>
      <c r="K91" s="43" t="str">
        <f t="shared" si="4"/>
        <v>ok</v>
      </c>
      <c r="L91" s="43">
        <f>IF(J91=1,IF(J92=0,IF(DAY(Simulation!$G$11)=1,0,DAY(Simulation!$G$11)-1),0),0)</f>
        <v>0</v>
      </c>
      <c r="M91" s="40">
        <f>IF(AND(J90=1,J91=1,J92=0,DAY(Simulation!$G$11)=1),0,IF(J91=1,IF(L91&lt;&gt;0,L91,C91),0))</f>
        <v>0</v>
      </c>
      <c r="N91" s="44">
        <f t="shared" si="5"/>
        <v>0</v>
      </c>
      <c r="O91" s="45">
        <f>IF($E$36=5,(($B$28*$B$12)/365)*$C91*$E$36*$F91*Simulation!$G$10,((($B$28*$B$12)/365)*$M91*Simulation!$G$10)+(($B$28*$B$12)/365)*$N91*$F91*Simulation!$G$10)</f>
        <v>0</v>
      </c>
      <c r="P91" s="46">
        <f>IF($E$36=5,(($B$29*$B$13)/365)*$C91*$E$36*$F91*Simulation!$G$10,((($B$29*$B$13)/365)*$M91*Simulation!$G$10)+(($B$29*$B$13)/365)*$N91*$F91*Simulation!$G$10)</f>
        <v>0</v>
      </c>
      <c r="Q91" s="79">
        <f>IF($E$36=5,($E$22/365)*$C91*$E$36*$F91*Simulation!$G$10,(($E$22/365)*$M91*Simulation!$G$10)+($E$22/365)*$N91*$F91*Simulation!$G$10)</f>
        <v>0</v>
      </c>
      <c r="R91" s="79">
        <f>IF($E$36=5,($E$23*$E$24/365)*$C91*$E$36*$F91*Simulation!$G$10,(($E$23*$E$24/365)*$M91*Simulation!$G$10)+($E$23*$E$24/365)*$N91*$F91*Simulation!$G$10)</f>
        <v>0</v>
      </c>
    </row>
    <row r="92" spans="1:18" s="2" customFormat="1" ht="15" x14ac:dyDescent="0.25">
      <c r="A92" s="37">
        <v>44805</v>
      </c>
      <c r="B92" s="38">
        <v>44805</v>
      </c>
      <c r="C92" s="39">
        <f>MAX(0,MIN(EOMONTH(B92,0),Simulation!$G$12)-MAX(B92,Simulation!$G$11)+1)</f>
        <v>0</v>
      </c>
      <c r="D92" s="197"/>
      <c r="E92" s="202"/>
      <c r="F92" s="39">
        <f>Parameters!B29</f>
        <v>0.9425</v>
      </c>
      <c r="G92" s="40">
        <f t="shared" si="3"/>
        <v>30</v>
      </c>
      <c r="H92" s="199"/>
      <c r="I92" s="41">
        <f>IF(Simulation!$G$12&gt;=$B$136,IF(AND(YEAR(Simulation!$G$11)=YEAR(A92),MONTH(A92)=MONTH(Simulation!$G$11)),1,0),0)</f>
        <v>0</v>
      </c>
      <c r="J92" s="42">
        <f t="shared" si="7"/>
        <v>0</v>
      </c>
      <c r="K92" s="43" t="str">
        <f t="shared" si="4"/>
        <v>ok</v>
      </c>
      <c r="L92" s="43">
        <f>IF(J92=1,IF(J93=0,IF(DAY(Simulation!$G$11)=1,0,DAY(Simulation!$G$11)-1),0),0)</f>
        <v>0</v>
      </c>
      <c r="M92" s="40">
        <f>IF(AND(J91=1,J92=1,J93=0,DAY(Simulation!$G$11)=1),0,IF(J92=1,IF(L92&lt;&gt;0,L92,C92),0))</f>
        <v>0</v>
      </c>
      <c r="N92" s="44">
        <f t="shared" si="5"/>
        <v>0</v>
      </c>
      <c r="O92" s="45">
        <f>IF($E$36=5,(($B$28*$B$12)/365)*$C92*$E$36*$F92*Simulation!$G$10,((($B$28*$B$12)/365)*$M92*Simulation!$G$10)+(($B$28*$B$12)/365)*$N92*$F92*Simulation!$G$10)</f>
        <v>0</v>
      </c>
      <c r="P92" s="46">
        <f>IF($E$36=5,(($B$29*$B$13)/365)*$C92*$E$36*$F92*Simulation!$G$10,((($B$29*$B$13)/365)*$M92*Simulation!$G$10)+(($B$29*$B$13)/365)*$N92*$F92*Simulation!$G$10)</f>
        <v>0</v>
      </c>
      <c r="Q92" s="79">
        <f>IF($E$36=5,($E$22/365)*$C92*$E$36*$F92*Simulation!$G$10,(($E$22/365)*$M92*Simulation!$G$10)+($E$22/365)*$N92*$F92*Simulation!$G$10)</f>
        <v>0</v>
      </c>
      <c r="R92" s="79">
        <f>IF($E$36=5,($E$23*$E$24/365)*$C92*$E$36*$F92*Simulation!$G$10,(($E$23*$E$24/365)*$M92*Simulation!$G$10)+($E$23*$E$24/365)*$N92*$F92*Simulation!$G$10)</f>
        <v>0</v>
      </c>
    </row>
    <row r="93" spans="1:18" s="2" customFormat="1" ht="15" x14ac:dyDescent="0.25">
      <c r="A93" s="37">
        <v>44835</v>
      </c>
      <c r="B93" s="38">
        <v>44835</v>
      </c>
      <c r="C93" s="39">
        <f>MAX(0,MIN(EOMONTH(B93,0),Simulation!$G$12)-MAX(B93,Simulation!$G$11)+1)</f>
        <v>0</v>
      </c>
      <c r="D93" s="197"/>
      <c r="E93" s="202"/>
      <c r="F93" s="39">
        <f>Parameters!B30</f>
        <v>1.5225</v>
      </c>
      <c r="G93" s="40">
        <f t="shared" si="3"/>
        <v>31</v>
      </c>
      <c r="H93" s="199"/>
      <c r="I93" s="41">
        <f>IF(Simulation!$G$12&gt;=$B$136,IF(AND(YEAR(Simulation!$G$11)=YEAR(A93),MONTH(A93)=MONTH(Simulation!$G$11)),1,0),0)</f>
        <v>0</v>
      </c>
      <c r="J93" s="42">
        <f t="shared" si="7"/>
        <v>0</v>
      </c>
      <c r="K93" s="43" t="str">
        <f t="shared" si="4"/>
        <v>ok</v>
      </c>
      <c r="L93" s="43">
        <f>IF(J93=1,IF(J94=0,IF(DAY(Simulation!$G$11)=1,0,DAY(Simulation!$G$11)-1),0),0)</f>
        <v>0</v>
      </c>
      <c r="M93" s="40">
        <f>IF(AND(J92=1,J93=1,J94=0,DAY(Simulation!$G$11)=1),0,IF(J93=1,IF(L93&lt;&gt;0,L93,C93),0))</f>
        <v>0</v>
      </c>
      <c r="N93" s="44">
        <f t="shared" si="5"/>
        <v>0</v>
      </c>
      <c r="O93" s="45">
        <f>IF($E$36=5,(($B$28*$B$12)/365)*$C93*$E$36*$F93*Simulation!$G$10,((($B$28*$B$12)/365)*$M93*Simulation!$G$10)+(($B$28*$B$12)/365)*$N93*$F93*Simulation!$G$10)</f>
        <v>0</v>
      </c>
      <c r="P93" s="46">
        <f>IF($E$36=5,(($B$29*$B$13)/365)*$C93*$E$36*$F93*Simulation!$G$10,((($B$29*$B$13)/365)*$M93*Simulation!$G$10)+(($B$29*$B$13)/365)*$N93*$F93*Simulation!$G$10)</f>
        <v>0</v>
      </c>
      <c r="Q93" s="79">
        <f>IF($E$36=5,($E$22/365)*$C93*$E$36*$F93*Simulation!$G$10,(($E$22/365)*$M93*Simulation!$G$10)+($E$22/365)*$N93*$F93*Simulation!$G$10)</f>
        <v>0</v>
      </c>
      <c r="R93" s="79">
        <f>IF($E$36=5,($E$23*$E$24/365)*$C93*$E$36*$F93*Simulation!$G$10,(($E$23*$E$24/365)*$M93*Simulation!$G$10)+($E$23*$E$24/365)*$N93*$F93*Simulation!$G$10)</f>
        <v>0</v>
      </c>
    </row>
    <row r="94" spans="1:18" s="2" customFormat="1" ht="15" x14ac:dyDescent="0.25">
      <c r="A94" s="37">
        <v>44866</v>
      </c>
      <c r="B94" s="38">
        <v>44866</v>
      </c>
      <c r="C94" s="39">
        <f>MAX(0,MIN(EOMONTH(B94,0),Simulation!$G$12)-MAX(B94,Simulation!$G$11)+1)</f>
        <v>0</v>
      </c>
      <c r="D94" s="197"/>
      <c r="E94" s="202"/>
      <c r="F94" s="39">
        <f>Parameters!B31</f>
        <v>2.0299999999999998</v>
      </c>
      <c r="G94" s="40">
        <f t="shared" si="3"/>
        <v>30</v>
      </c>
      <c r="H94" s="199"/>
      <c r="I94" s="41">
        <f>IF(Simulation!$G$12&gt;=$B$136,IF(AND(YEAR(Simulation!$G$11)=YEAR(A94),MONTH(A94)=MONTH(Simulation!$G$11)),1,0),0)</f>
        <v>0</v>
      </c>
      <c r="J94" s="42">
        <f t="shared" si="7"/>
        <v>0</v>
      </c>
      <c r="K94" s="43" t="str">
        <f t="shared" si="4"/>
        <v>ok</v>
      </c>
      <c r="L94" s="43">
        <f>IF(J94=1,IF(J95=0,IF(DAY(Simulation!$G$11)=1,0,DAY(Simulation!$G$11)-1),0),0)</f>
        <v>0</v>
      </c>
      <c r="M94" s="40">
        <f>IF(AND(J93=1,J94=1,J95=0,DAY(Simulation!$G$11)=1),0,IF(J94=1,IF(L94&lt;&gt;0,L94,C94),0))</f>
        <v>0</v>
      </c>
      <c r="N94" s="44">
        <f t="shared" si="5"/>
        <v>0</v>
      </c>
      <c r="O94" s="45">
        <f>IF($E$36=5,(($B$28*$B$12)/365)*$C94*$E$36*$F94*Simulation!$G$10,((($B$28*$B$12)/365)*$M94*Simulation!$G$10)+(($B$28*$B$12)/365)*$N94*$F94*Simulation!$G$10)</f>
        <v>0</v>
      </c>
      <c r="P94" s="46">
        <f>IF($E$36=5,(($B$29*$B$13)/365)*$C94*$E$36*$F94*Simulation!$G$10,((($B$29*$B$13)/365)*$M94*Simulation!$G$10)+(($B$29*$B$13)/365)*$N94*$F94*Simulation!$G$10)</f>
        <v>0</v>
      </c>
      <c r="Q94" s="79">
        <f>IF($E$36=5,($E$22/365)*$C94*$E$36*$F94*Simulation!$G$10,(($E$22/365)*$M94*Simulation!$G$10)+($E$22/365)*$N94*$F94*Simulation!$G$10)</f>
        <v>0</v>
      </c>
      <c r="R94" s="79">
        <f>IF($E$36=5,($E$23*$E$24/365)*$C94*$E$36*$F94*Simulation!$G$10,(($E$23*$E$24/365)*$M94*Simulation!$G$10)+($E$23*$E$24/365)*$N94*$F94*Simulation!$G$10)</f>
        <v>0</v>
      </c>
    </row>
    <row r="95" spans="1:18" s="2" customFormat="1" ht="15" x14ac:dyDescent="0.25">
      <c r="A95" s="37">
        <v>44896</v>
      </c>
      <c r="B95" s="38">
        <v>44896</v>
      </c>
      <c r="C95" s="39">
        <f>MAX(0,MIN(EOMONTH(B95,0),Simulation!$G$12)-MAX(B95,Simulation!$G$11)+1)</f>
        <v>0</v>
      </c>
      <c r="D95" s="197"/>
      <c r="E95" s="202"/>
      <c r="F95" s="39">
        <f>Parameters!B32</f>
        <v>2.3199999999999998</v>
      </c>
      <c r="G95" s="40">
        <f t="shared" si="3"/>
        <v>31</v>
      </c>
      <c r="H95" s="199"/>
      <c r="I95" s="41">
        <f>IF(Simulation!$G$12&gt;=$B$136,IF(AND(YEAR(Simulation!$G$11)=YEAR(A95),MONTH(A95)=MONTH(Simulation!$G$11)),1,0),0)</f>
        <v>0</v>
      </c>
      <c r="J95" s="42">
        <f t="shared" si="7"/>
        <v>0</v>
      </c>
      <c r="K95" s="43" t="str">
        <f t="shared" si="4"/>
        <v>ok</v>
      </c>
      <c r="L95" s="43">
        <f>IF(J95=1,IF(J96=0,IF(DAY(Simulation!$G$11)=1,0,DAY(Simulation!$G$11)-1),0),0)</f>
        <v>0</v>
      </c>
      <c r="M95" s="40">
        <f>IF(AND(J94=1,J95=1,J120=0,DAY(Simulation!$G$11)=1),0,IF(J95=1,IF(L95&lt;&gt;0,L95,C95),0))</f>
        <v>0</v>
      </c>
      <c r="N95" s="44">
        <f t="shared" si="5"/>
        <v>0</v>
      </c>
      <c r="O95" s="45">
        <f>IF($E$36=5,(($B$28*$B$12)/365)*$C95*$E$36*$F95*Simulation!$G$10,((($B$28*$B$12)/365)*$M95*Simulation!$G$10)+(($B$28*$B$12)/365)*$N95*$F95*Simulation!$G$10)</f>
        <v>0</v>
      </c>
      <c r="P95" s="46">
        <f>IF($E$36=5,(($B$29*$B$13)/365)*$C95*$E$36*$F95*Simulation!$G$10,((($B$29*$B$13)/365)*$M95*Simulation!$G$10)+(($B$29*$B$13)/365)*$N95*$F95*Simulation!$G$10)</f>
        <v>0</v>
      </c>
      <c r="Q95" s="79">
        <f>IF($E$36=5,($E$22/365)*$C95*$E$36*$F95*Simulation!$G$10,(($E$22/365)*$M95*Simulation!$G$10)+($E$22/365)*$N95*$F95*Simulation!$G$10)</f>
        <v>0</v>
      </c>
      <c r="R95" s="79">
        <f>IF($E$36=5,($E$23*$E$24/365)*$C95*$E$36*$F95*Simulation!$G$10,(($E$23*$E$24/365)*$M95*Simulation!$G$10)+($E$23*$E$24/365)*$N95*$F95*Simulation!$G$10)</f>
        <v>0</v>
      </c>
    </row>
    <row r="96" spans="1:18" s="3" customFormat="1" ht="15" x14ac:dyDescent="0.25">
      <c r="A96" s="127">
        <v>44927</v>
      </c>
      <c r="B96" s="38">
        <v>44927</v>
      </c>
      <c r="C96" s="39">
        <f>MAX(0,MIN(EOMONTH(B96,0),Simulation!$G$12)-MAX(B96,Simulation!$G$11)+1)</f>
        <v>0</v>
      </c>
      <c r="D96" s="197"/>
      <c r="E96" s="202"/>
      <c r="F96" s="39">
        <f>Parameters!B21</f>
        <v>2.5375000000000001</v>
      </c>
      <c r="G96" s="40">
        <f t="shared" si="3"/>
        <v>31</v>
      </c>
      <c r="H96" s="199"/>
      <c r="I96" s="41">
        <f>IF(Simulation!$G$12&gt;=$B$136,IF(AND(YEAR(Simulation!$G$11)=YEAR(A96),MONTH(A96)=MONTH(Simulation!$G$11)),1,0),0)</f>
        <v>0</v>
      </c>
      <c r="J96" s="42">
        <f t="shared" si="7"/>
        <v>0</v>
      </c>
      <c r="K96" s="43" t="str">
        <f t="shared" ref="K96:K119" si="8">IF((M96+N96)&lt;&gt;C96,"issue","ok")</f>
        <v>ok</v>
      </c>
      <c r="L96" s="43">
        <f>IF(J96=1,IF(J97=0,IF(DAY(Simulation!$G$11)=1,0,DAY(Simulation!$G$11)-1),0),0)</f>
        <v>0</v>
      </c>
      <c r="M96" s="40">
        <f>IF(AND(J95=1,J96=1,J134=0,DAY(Simulation!$G$11)=1),0,IF(J96=1,IF(L96&lt;&gt;0,L96,C96),0))</f>
        <v>0</v>
      </c>
      <c r="N96" s="44">
        <f t="shared" ref="N96:N107" si="9">MAX(0,C96-M96)</f>
        <v>0</v>
      </c>
      <c r="O96" s="45">
        <f>IF($E$36=5,(($B$28*$B$12)/365)*$C96*$E$36*$F96*Simulation!$G$10,((($B$28*$B$12)/365)*$M96*Simulation!$G$10)+(($B$28*$B$12)/365)*$N96*$F96*Simulation!$G$10)</f>
        <v>0</v>
      </c>
      <c r="P96" s="46">
        <f>IF($E$36=5,(($B$29*$B$13)/365)*$C96*$E$36*$F96*Simulation!$G$10,((($B$29*$B$13)/365)*$M96*Simulation!$G$10)+(($B$29*$B$13)/365)*$N96*$F96*Simulation!$G$10)</f>
        <v>0</v>
      </c>
      <c r="Q96" s="128">
        <f>IF($E$36=5,($E$22/365)*$C96*$E$36*$F96*Simulation!$G$10,(($E$22/365)*$M96*Simulation!$G$10)+($E$22/365)*$N96*$F96*Simulation!$G$10)</f>
        <v>0</v>
      </c>
      <c r="R96" s="128">
        <f>IF($E$36=5,($E$23*$E$24/365)*$C96*$E$36*$F96*Simulation!$G$10,(($E$23*$E$24/365)*$M96*Simulation!$G$10)+($E$23*$E$24/365)*$N96*$F96*Simulation!$G$10)</f>
        <v>0</v>
      </c>
    </row>
    <row r="97" spans="1:18" s="3" customFormat="1" ht="15" x14ac:dyDescent="0.25">
      <c r="A97" s="127">
        <v>44958</v>
      </c>
      <c r="B97" s="38">
        <v>44958</v>
      </c>
      <c r="C97" s="39">
        <f>MAX(0,MIN(EOMONTH(B97,0),Simulation!$G$12)-MAX(B97,Simulation!$G$11)+1)</f>
        <v>0</v>
      </c>
      <c r="D97" s="197"/>
      <c r="E97" s="202"/>
      <c r="F97" s="39">
        <f>Parameters!B22</f>
        <v>2.2475000000000001</v>
      </c>
      <c r="G97" s="40">
        <f t="shared" si="3"/>
        <v>28</v>
      </c>
      <c r="H97" s="199"/>
      <c r="I97" s="41">
        <f>IF(Simulation!$G$12&gt;=$B$136,IF(AND(YEAR(Simulation!$G$11)=YEAR(A97),MONTH(A97)=MONTH(Simulation!$G$11)),1,0),0)</f>
        <v>0</v>
      </c>
      <c r="J97" s="42">
        <f t="shared" si="7"/>
        <v>0</v>
      </c>
      <c r="K97" s="43" t="str">
        <f t="shared" si="8"/>
        <v>ok</v>
      </c>
      <c r="L97" s="43">
        <f>IF(J97=1,IF(J98=0,IF(DAY(Simulation!$G$11)=1,0,DAY(Simulation!$G$11)-1),0),0)</f>
        <v>0</v>
      </c>
      <c r="M97" s="40">
        <f>IF(AND(J96=1,J97=1,J135=0,DAY(Simulation!$G$11)=1),0,IF(J97=1,IF(L97&lt;&gt;0,L97,C97),0))</f>
        <v>0</v>
      </c>
      <c r="N97" s="44">
        <f t="shared" si="9"/>
        <v>0</v>
      </c>
      <c r="O97" s="45">
        <f>IF($E$36=5,(($B$28*$B$12)/365)*$C97*$E$36*$F97*Simulation!$G$10,((($B$28*$B$12)/365)*$M97*Simulation!$G$10)+(($B$28*$B$12)/365)*$N97*$F97*Simulation!$G$10)</f>
        <v>0</v>
      </c>
      <c r="P97" s="46">
        <f>IF($E$36=5,(($B$29*$B$13)/365)*$C97*$E$36*$F97*Simulation!$G$10,((($B$29*$B$13)/365)*$M97*Simulation!$G$10)+(($B$29*$B$13)/365)*$N97*$F97*Simulation!$G$10)</f>
        <v>0</v>
      </c>
      <c r="Q97" s="128">
        <f>IF($E$36=5,($E$22/365)*$C97*$E$36*$F97*Simulation!$G$10,(($E$22/365)*$M97*Simulation!$G$10)+($E$22/365)*$N97*$F97*Simulation!$G$10)</f>
        <v>0</v>
      </c>
      <c r="R97" s="128">
        <f>IF($E$36=5,($E$23*$E$24/365)*$C97*$E$36*$F97*Simulation!$G$10,(($E$23*$E$24/365)*$M97*Simulation!$G$10)+($E$23*$E$24/365)*$N97*$F97*Simulation!$G$10)</f>
        <v>0</v>
      </c>
    </row>
    <row r="98" spans="1:18" s="3" customFormat="1" ht="15" x14ac:dyDescent="0.25">
      <c r="A98" s="127">
        <v>44986</v>
      </c>
      <c r="B98" s="38">
        <v>44986</v>
      </c>
      <c r="C98" s="39">
        <f>MAX(0,MIN(EOMONTH(B98,0),Simulation!$G$12)-MAX(B98,Simulation!$G$11)+1)</f>
        <v>0</v>
      </c>
      <c r="D98" s="197"/>
      <c r="E98" s="202"/>
      <c r="F98" s="39">
        <f>Parameters!B23</f>
        <v>1.885</v>
      </c>
      <c r="G98" s="40">
        <f t="shared" si="3"/>
        <v>31</v>
      </c>
      <c r="H98" s="199"/>
      <c r="I98" s="41">
        <f>IF(Simulation!$G$12&gt;=$B$136,IF(AND(YEAR(Simulation!$G$11)=YEAR(A98),MONTH(A98)=MONTH(Simulation!$G$11)),1,0),0)</f>
        <v>0</v>
      </c>
      <c r="J98" s="42">
        <f t="shared" si="7"/>
        <v>0</v>
      </c>
      <c r="K98" s="43" t="str">
        <f t="shared" si="8"/>
        <v>ok</v>
      </c>
      <c r="L98" s="43">
        <f>IF(J98=1,IF(J99=0,IF(DAY(Simulation!$G$11)=1,0,DAY(Simulation!$G$11)-1),0),0)</f>
        <v>0</v>
      </c>
      <c r="M98" s="40">
        <f>IF(AND(J97=1,J98=1,J136=0,DAY(Simulation!$G$11)=1),0,IF(J98=1,IF(L98&lt;&gt;0,L98,C98),0))</f>
        <v>0</v>
      </c>
      <c r="N98" s="44">
        <f t="shared" si="9"/>
        <v>0</v>
      </c>
      <c r="O98" s="45">
        <f>IF($E$36=5,(($B$28*$B$12)/365)*$C98*$E$36*$F98*Simulation!$G$10,((($B$28*$B$12)/365)*$M98*Simulation!$G$10)+(($B$28*$B$12)/365)*$N98*$F98*Simulation!$G$10)</f>
        <v>0</v>
      </c>
      <c r="P98" s="46">
        <f>IF($E$36=5,(($B$29*$B$13)/365)*$C98*$E$36*$F98*Simulation!$G$10,((($B$29*$B$13)/365)*$M98*Simulation!$G$10)+(($B$29*$B$13)/365)*$N98*$F98*Simulation!$G$10)</f>
        <v>0</v>
      </c>
      <c r="Q98" s="128">
        <f>IF($E$36=5,($E$22/365)*$C98*$E$36*$F98*Simulation!$G$10,(($E$22/365)*$M98*Simulation!$G$10)+($E$22/365)*$N98*$F98*Simulation!$G$10)</f>
        <v>0</v>
      </c>
      <c r="R98" s="128">
        <f>IF($E$36=5,($E$23*$E$24/365)*$C98*$E$36*$F98*Simulation!$G$10,(($E$23*$E$24/365)*$M98*Simulation!$G$10)+($E$23*$E$24/365)*$N98*$F98*Simulation!$G$10)</f>
        <v>0</v>
      </c>
    </row>
    <row r="99" spans="1:18" s="3" customFormat="1" ht="15" x14ac:dyDescent="0.25">
      <c r="A99" s="127">
        <v>45017</v>
      </c>
      <c r="B99" s="38">
        <v>45017</v>
      </c>
      <c r="C99" s="39">
        <f>MAX(0,MIN(EOMONTH(B99,0),Simulation!$G$12)-MAX(B99,Simulation!$G$11)+1)</f>
        <v>0</v>
      </c>
      <c r="D99" s="197"/>
      <c r="E99" s="202"/>
      <c r="F99" s="39">
        <f>Parameters!B24</f>
        <v>1.3774999999999999</v>
      </c>
      <c r="G99" s="40">
        <f t="shared" si="3"/>
        <v>30</v>
      </c>
      <c r="H99" s="199"/>
      <c r="I99" s="41">
        <f>IF(Simulation!$G$12&gt;=$B$136,IF(AND(YEAR(Simulation!$G$11)=YEAR(A99),MONTH(A99)=MONTH(Simulation!$G$11)),1,0),0)</f>
        <v>0</v>
      </c>
      <c r="J99" s="42">
        <f t="shared" si="7"/>
        <v>0</v>
      </c>
      <c r="K99" s="43" t="str">
        <f t="shared" si="8"/>
        <v>ok</v>
      </c>
      <c r="L99" s="43">
        <f>IF(J99=1,IF(J100=0,IF(DAY(Simulation!$G$11)=1,0,DAY(Simulation!$G$11)-1),0),0)</f>
        <v>0</v>
      </c>
      <c r="M99" s="40">
        <f>IF(AND(J98=1,J99=1,J137=0,DAY(Simulation!$G$11)=1),0,IF(J99=1,IF(L99&lt;&gt;0,L99,C99),0))</f>
        <v>0</v>
      </c>
      <c r="N99" s="44">
        <f t="shared" si="9"/>
        <v>0</v>
      </c>
      <c r="O99" s="45">
        <f>IF($E$36=5,(($B$28*$B$12)/365)*$C99*$E$36*$F99*Simulation!$G$10,((($B$28*$B$12)/365)*$M99*Simulation!$G$10)+(($B$28*$B$12)/365)*$N99*$F99*Simulation!$G$10)</f>
        <v>0</v>
      </c>
      <c r="P99" s="46">
        <f>IF($E$36=5,(($B$29*$B$13)/365)*$C99*$E$36*$F99*Simulation!$G$10,((($B$29*$B$13)/365)*$M99*Simulation!$G$10)+(($B$29*$B$13)/365)*$N99*$F99*Simulation!$G$10)</f>
        <v>0</v>
      </c>
      <c r="Q99" s="128">
        <f>IF($E$36=5,($E$22/365)*$C99*$E$36*$F99*Simulation!$G$10,(($E$22/365)*$M99*Simulation!$G$10)+($E$22/365)*$N99*$F99*Simulation!$G$10)</f>
        <v>0</v>
      </c>
      <c r="R99" s="128">
        <f>IF($E$36=5,($E$23*$E$24/365)*$C99*$E$36*$F99*Simulation!$G$10,(($E$23*$E$24/365)*$M99*Simulation!$G$10)+($E$23*$E$24/365)*$N99*$F99*Simulation!$G$10)</f>
        <v>0</v>
      </c>
    </row>
    <row r="100" spans="1:18" s="3" customFormat="1" ht="15" x14ac:dyDescent="0.25">
      <c r="A100" s="127">
        <v>45047</v>
      </c>
      <c r="B100" s="38">
        <v>45047</v>
      </c>
      <c r="C100" s="39">
        <f>MAX(0,MIN(EOMONTH(B100,0),Simulation!$G$12)-MAX(B100,Simulation!$G$11)+1)</f>
        <v>0</v>
      </c>
      <c r="D100" s="197"/>
      <c r="E100" s="202"/>
      <c r="F100" s="39">
        <f>Parameters!B25</f>
        <v>0.9425</v>
      </c>
      <c r="G100" s="40">
        <f t="shared" si="3"/>
        <v>31</v>
      </c>
      <c r="H100" s="199"/>
      <c r="I100" s="41">
        <f>IF(Simulation!$G$12&gt;=$B$136,IF(AND(YEAR(Simulation!$G$11)=YEAR(A100),MONTH(A100)=MONTH(Simulation!$G$11)),1,0),0)</f>
        <v>0</v>
      </c>
      <c r="J100" s="42">
        <f t="shared" si="7"/>
        <v>0</v>
      </c>
      <c r="K100" s="43" t="str">
        <f t="shared" si="8"/>
        <v>ok</v>
      </c>
      <c r="L100" s="43">
        <f>IF(J100=1,IF(J101=0,IF(DAY(Simulation!$G$11)=1,0,DAY(Simulation!$G$11)-1),0),0)</f>
        <v>0</v>
      </c>
      <c r="M100" s="40">
        <f>IF(AND(J99=1,J100=1,J138=0,DAY(Simulation!$G$11)=1),0,IF(J100=1,IF(L100&lt;&gt;0,L100,C100),0))</f>
        <v>0</v>
      </c>
      <c r="N100" s="44">
        <f t="shared" si="9"/>
        <v>0</v>
      </c>
      <c r="O100" s="45">
        <f>IF($E$36=5,(($B$28*$B$12)/365)*$C100*$E$36*$F100*Simulation!$G$10,((($B$28*$B$12)/365)*$M100*Simulation!$G$10)+(($B$28*$B$12)/365)*$N100*$F100*Simulation!$G$10)</f>
        <v>0</v>
      </c>
      <c r="P100" s="46">
        <f>IF($E$36=5,(($B$29*$B$13)/365)*$C100*$E$36*$F100*Simulation!$G$10,((($B$29*$B$13)/365)*$M100*Simulation!$G$10)+(($B$29*$B$13)/365)*$N100*$F100*Simulation!$G$10)</f>
        <v>0</v>
      </c>
      <c r="Q100" s="128">
        <f>IF($E$36=5,($E$22/365)*$C100*$E$36*$F100*Simulation!$G$10,(($E$22/365)*$M100*Simulation!$G$10)+($E$22/365)*$N100*$F100*Simulation!$G$10)</f>
        <v>0</v>
      </c>
      <c r="R100" s="128">
        <f>IF($E$36=5,($E$23*$E$24/365)*$C100*$E$36*$F100*Simulation!$G$10,(($E$23*$E$24/365)*$M100*Simulation!$G$10)+($E$23*$E$24/365)*$N100*$F100*Simulation!$G$10)</f>
        <v>0</v>
      </c>
    </row>
    <row r="101" spans="1:18" s="3" customFormat="1" ht="15" x14ac:dyDescent="0.25">
      <c r="A101" s="127">
        <v>45078</v>
      </c>
      <c r="B101" s="38">
        <v>45078</v>
      </c>
      <c r="C101" s="39">
        <f>MAX(0,MIN(EOMONTH(B101,0),Simulation!$G$12)-MAX(B101,Simulation!$G$11)+1)</f>
        <v>0</v>
      </c>
      <c r="D101" s="197"/>
      <c r="E101" s="202"/>
      <c r="F101" s="39">
        <f>Parameters!B26</f>
        <v>0.72499999999999998</v>
      </c>
      <c r="G101" s="40">
        <f t="shared" si="3"/>
        <v>30</v>
      </c>
      <c r="H101" s="199"/>
      <c r="I101" s="41">
        <f>IF(Simulation!$G$12&gt;=$B$136,IF(AND(YEAR(Simulation!$G$11)=YEAR(A101),MONTH(A101)=MONTH(Simulation!$G$11)),1,0),0)</f>
        <v>0</v>
      </c>
      <c r="J101" s="42">
        <f t="shared" si="7"/>
        <v>0</v>
      </c>
      <c r="K101" s="43" t="str">
        <f t="shared" si="8"/>
        <v>ok</v>
      </c>
      <c r="L101" s="43">
        <f>IF(J101=1,IF(J102=0,IF(DAY(Simulation!$G$11)=1,0,DAY(Simulation!$G$11)-1),0),0)</f>
        <v>0</v>
      </c>
      <c r="M101" s="40">
        <f>IF(AND(J100=1,J101=1,J139=0,DAY(Simulation!$G$11)=1),0,IF(J101=1,IF(L101&lt;&gt;0,L101,C101),0))</f>
        <v>0</v>
      </c>
      <c r="N101" s="44">
        <f t="shared" si="9"/>
        <v>0</v>
      </c>
      <c r="O101" s="45">
        <f>IF($E$36=5,(($B$28*$B$12)/365)*$C101*$E$36*$F101*Simulation!$G$10,((($B$28*$B$12)/365)*$M101*Simulation!$G$10)+(($B$28*$B$12)/365)*$N101*$F101*Simulation!$G$10)</f>
        <v>0</v>
      </c>
      <c r="P101" s="46">
        <f>IF($E$36=5,(($B$29*$B$13)/365)*$C101*$E$36*$F101*Simulation!$G$10,((($B$29*$B$13)/365)*$M101*Simulation!$G$10)+(($B$29*$B$13)/365)*$N101*$F101*Simulation!$G$10)</f>
        <v>0</v>
      </c>
      <c r="Q101" s="128">
        <f>IF($E$36=5,($E$22/365)*$C101*$E$36*$F101*Simulation!$G$10,(($E$22/365)*$M101*Simulation!$G$10)+($E$22/365)*$N101*$F101*Simulation!$G$10)</f>
        <v>0</v>
      </c>
      <c r="R101" s="128">
        <f>IF($E$36=5,($E$23*$E$24/365)*$C101*$E$36*$F101*Simulation!$G$10,(($E$23*$E$24/365)*$M101*Simulation!$G$10)+($E$23*$E$24/365)*$N101*$F101*Simulation!$G$10)</f>
        <v>0</v>
      </c>
    </row>
    <row r="102" spans="1:18" s="3" customFormat="1" ht="15" x14ac:dyDescent="0.25">
      <c r="A102" s="127">
        <v>45108</v>
      </c>
      <c r="B102" s="38">
        <v>45108</v>
      </c>
      <c r="C102" s="39">
        <f>MAX(0,MIN(EOMONTH(B102,0),Simulation!$G$12)-MAX(B102,Simulation!$G$11)+1)</f>
        <v>0</v>
      </c>
      <c r="D102" s="197"/>
      <c r="E102" s="202"/>
      <c r="F102" s="39">
        <f>Parameters!B27</f>
        <v>0.72499999999999998</v>
      </c>
      <c r="G102" s="40">
        <f t="shared" si="3"/>
        <v>31</v>
      </c>
      <c r="H102" s="199"/>
      <c r="I102" s="41">
        <f>IF(Simulation!$G$12&gt;=$B$136,IF(AND(YEAR(Simulation!$G$11)=YEAR(A102),MONTH(A102)=MONTH(Simulation!$G$11)),1,0),0)</f>
        <v>0</v>
      </c>
      <c r="J102" s="42">
        <f t="shared" si="7"/>
        <v>0</v>
      </c>
      <c r="K102" s="43" t="str">
        <f t="shared" si="8"/>
        <v>ok</v>
      </c>
      <c r="L102" s="43">
        <f>IF(J102=1,IF(J103=0,IF(DAY(Simulation!$G$11)=1,0,DAY(Simulation!$G$11)-1),0),0)</f>
        <v>0</v>
      </c>
      <c r="M102" s="40">
        <f>IF(AND(J101=1,J102=1,J140=0,DAY(Simulation!$G$11)=1),0,IF(J102=1,IF(L102&lt;&gt;0,L102,C102),0))</f>
        <v>0</v>
      </c>
      <c r="N102" s="44">
        <f t="shared" si="9"/>
        <v>0</v>
      </c>
      <c r="O102" s="45">
        <f>IF($E$36=5,(($B$28*$B$12)/365)*$C102*$E$36*$F102*Simulation!$G$10,((($B$28*$B$12)/365)*$M102*Simulation!$G$10)+(($B$28*$B$12)/365)*$N102*$F102*Simulation!$G$10)</f>
        <v>0</v>
      </c>
      <c r="P102" s="46">
        <f>IF($E$36=5,(($B$29*$B$13)/365)*$C102*$E$36*$F102*Simulation!$G$10,((($B$29*$B$13)/365)*$M102*Simulation!$G$10)+(($B$29*$B$13)/365)*$N102*$F102*Simulation!$G$10)</f>
        <v>0</v>
      </c>
      <c r="Q102" s="128">
        <f>IF($E$36=5,($E$22/365)*$C102*$E$36*$F102*Simulation!$G$10,(($E$22/365)*$M102*Simulation!$G$10)+($E$22/365)*$N102*$F102*Simulation!$G$10)</f>
        <v>0</v>
      </c>
      <c r="R102" s="128">
        <f>IF($E$36=5,($E$23*$E$24/365)*$C102*$E$36*$F102*Simulation!$G$10,(($E$23*$E$24/365)*$M102*Simulation!$G$10)+($E$23*$E$24/365)*$N102*$F102*Simulation!$G$10)</f>
        <v>0</v>
      </c>
    </row>
    <row r="103" spans="1:18" s="3" customFormat="1" ht="15" x14ac:dyDescent="0.25">
      <c r="A103" s="127">
        <v>45139</v>
      </c>
      <c r="B103" s="38">
        <v>45139</v>
      </c>
      <c r="C103" s="39">
        <f>MAX(0,MIN(EOMONTH(B103,0),Simulation!$G$12)-MAX(B103,Simulation!$G$11)+1)</f>
        <v>0</v>
      </c>
      <c r="D103" s="197"/>
      <c r="E103" s="202"/>
      <c r="F103" s="39">
        <f>Parameters!B28</f>
        <v>0.72499999999999998</v>
      </c>
      <c r="G103" s="40">
        <f t="shared" si="3"/>
        <v>31</v>
      </c>
      <c r="H103" s="199"/>
      <c r="I103" s="41">
        <f>IF(Simulation!$G$12&gt;=$B$136,IF(AND(YEAR(Simulation!$G$11)=YEAR(A103),MONTH(A103)=MONTH(Simulation!$G$11)),1,0),0)</f>
        <v>0</v>
      </c>
      <c r="J103" s="42">
        <f t="shared" si="7"/>
        <v>0</v>
      </c>
      <c r="K103" s="43" t="str">
        <f t="shared" si="8"/>
        <v>ok</v>
      </c>
      <c r="L103" s="43">
        <f>IF(J103=1,IF(J104=0,IF(DAY(Simulation!$G$11)=1,0,DAY(Simulation!$G$11)-1),0),0)</f>
        <v>0</v>
      </c>
      <c r="M103" s="40">
        <f>IF(AND(J102=1,J103=1,J141=0,DAY(Simulation!$G$11)=1),0,IF(J103=1,IF(L103&lt;&gt;0,L103,C103),0))</f>
        <v>0</v>
      </c>
      <c r="N103" s="44">
        <f t="shared" si="9"/>
        <v>0</v>
      </c>
      <c r="O103" s="45">
        <f>IF($E$36=5,(($B$28*$B$12)/365)*$C103*$E$36*$F103*Simulation!$G$10,((($B$28*$B$12)/365)*$M103*Simulation!$G$10)+(($B$28*$B$12)/365)*$N103*$F103*Simulation!$G$10)</f>
        <v>0</v>
      </c>
      <c r="P103" s="46">
        <f>IF($E$36=5,(($B$29*$B$13)/365)*$C103*$E$36*$F103*Simulation!$G$10,((($B$29*$B$13)/365)*$M103*Simulation!$G$10)+(($B$29*$B$13)/365)*$N103*$F103*Simulation!$G$10)</f>
        <v>0</v>
      </c>
      <c r="Q103" s="128">
        <f>IF($E$36=5,($E$22/365)*$C103*$E$36*$F103*Simulation!$G$10,(($E$22/365)*$M103*Simulation!$G$10)+($E$22/365)*$N103*$F103*Simulation!$G$10)</f>
        <v>0</v>
      </c>
      <c r="R103" s="128">
        <f>IF($E$36=5,($E$23*$E$24/365)*$C103*$E$36*$F103*Simulation!$G$10,(($E$23*$E$24/365)*$M103*Simulation!$G$10)+($E$23*$E$24/365)*$N103*$F103*Simulation!$G$10)</f>
        <v>0</v>
      </c>
    </row>
    <row r="104" spans="1:18" s="3" customFormat="1" ht="15" x14ac:dyDescent="0.25">
      <c r="A104" s="127">
        <v>45170</v>
      </c>
      <c r="B104" s="38">
        <v>45170</v>
      </c>
      <c r="C104" s="39">
        <f>MAX(0,MIN(EOMONTH(B104,0),Simulation!$G$12)-MAX(B104,Simulation!$G$11)+1)</f>
        <v>0</v>
      </c>
      <c r="D104" s="197"/>
      <c r="E104" s="202"/>
      <c r="F104" s="39">
        <f>Parameters!B29</f>
        <v>0.9425</v>
      </c>
      <c r="G104" s="40">
        <f t="shared" si="3"/>
        <v>30</v>
      </c>
      <c r="H104" s="199"/>
      <c r="I104" s="41">
        <f>IF(Simulation!$G$12&gt;=$B$136,IF(AND(YEAR(Simulation!$G$11)=YEAR(A104),MONTH(A104)=MONTH(Simulation!$G$11)),1,0),0)</f>
        <v>0</v>
      </c>
      <c r="J104" s="42">
        <f t="shared" si="7"/>
        <v>0</v>
      </c>
      <c r="K104" s="43" t="str">
        <f t="shared" si="8"/>
        <v>ok</v>
      </c>
      <c r="L104" s="43">
        <f>IF(J104=1,IF(J105=0,IF(DAY(Simulation!$G$11)=1,0,DAY(Simulation!$G$11)-1),0),0)</f>
        <v>0</v>
      </c>
      <c r="M104" s="40">
        <f>IF(AND(J103=1,J104=1,J142=0,DAY(Simulation!$G$11)=1),0,IF(J104=1,IF(L104&lt;&gt;0,L104,C104),0))</f>
        <v>0</v>
      </c>
      <c r="N104" s="44">
        <f t="shared" si="9"/>
        <v>0</v>
      </c>
      <c r="O104" s="45">
        <f>IF($E$36=5,(($B$28*$B$12)/365)*$C104*$E$36*$F104*Simulation!$G$10,((($B$28*$B$12)/365)*$M104*Simulation!$G$10)+(($B$28*$B$12)/365)*$N104*$F104*Simulation!$G$10)</f>
        <v>0</v>
      </c>
      <c r="P104" s="46">
        <f>IF($E$36=5,(($B$29*$B$13)/365)*$C104*$E$36*$F104*Simulation!$G$10,((($B$29*$B$13)/365)*$M104*Simulation!$G$10)+(($B$29*$B$13)/365)*$N104*$F104*Simulation!$G$10)</f>
        <v>0</v>
      </c>
      <c r="Q104" s="128">
        <f>IF($E$36=5,($E$22/365)*$C104*$E$36*$F104*Simulation!$G$10,(($E$22/365)*$M104*Simulation!$G$10)+($E$22/365)*$N104*$F104*Simulation!$G$10)</f>
        <v>0</v>
      </c>
      <c r="R104" s="128">
        <f>IF($E$36=5,($E$23*$E$24/365)*$C104*$E$36*$F104*Simulation!$G$10,(($E$23*$E$24/365)*$M104*Simulation!$G$10)+($E$23*$E$24/365)*$N104*$F104*Simulation!$G$10)</f>
        <v>0</v>
      </c>
    </row>
    <row r="105" spans="1:18" s="3" customFormat="1" ht="15" x14ac:dyDescent="0.25">
      <c r="A105" s="127">
        <v>45200</v>
      </c>
      <c r="B105" s="38">
        <v>45200</v>
      </c>
      <c r="C105" s="39">
        <f>MAX(0,MIN(EOMONTH(B105,0),Simulation!$G$12)-MAX(B105,Simulation!$G$11)+1)</f>
        <v>0</v>
      </c>
      <c r="D105" s="197"/>
      <c r="E105" s="202"/>
      <c r="F105" s="39">
        <f>Parameters!B30</f>
        <v>1.5225</v>
      </c>
      <c r="G105" s="40">
        <f t="shared" si="3"/>
        <v>31</v>
      </c>
      <c r="H105" s="199"/>
      <c r="I105" s="41">
        <f>IF(Simulation!$G$12&gt;=$B$136,IF(AND(YEAR(Simulation!$G$11)=YEAR(A105),MONTH(A105)=MONTH(Simulation!$G$11)),1,0),0)</f>
        <v>0</v>
      </c>
      <c r="J105" s="42">
        <f t="shared" si="7"/>
        <v>0</v>
      </c>
      <c r="K105" s="43" t="str">
        <f t="shared" si="8"/>
        <v>ok</v>
      </c>
      <c r="L105" s="43">
        <f>IF(J105=1,IF(J106=0,IF(DAY(Simulation!$G$11)=1,0,DAY(Simulation!$G$11)-1),0),0)</f>
        <v>0</v>
      </c>
      <c r="M105" s="40">
        <f>IF(AND(J104=1,J105=1,J143=0,DAY(Simulation!$G$11)=1),0,IF(J105=1,IF(L105&lt;&gt;0,L105,C105),0))</f>
        <v>0</v>
      </c>
      <c r="N105" s="44">
        <f t="shared" si="9"/>
        <v>0</v>
      </c>
      <c r="O105" s="45">
        <f>IF($E$36=5,(($B$28*$B$12)/365)*$C105*$E$36*$F105*Simulation!$G$10,((($B$28*$B$12)/365)*$M105*Simulation!$G$10)+(($B$28*$B$12)/365)*$N105*$F105*Simulation!$G$10)</f>
        <v>0</v>
      </c>
      <c r="P105" s="46">
        <f>IF($E$36=5,(($B$29*$B$13)/365)*$C105*$E$36*$F105*Simulation!$G$10,((($B$29*$B$13)/365)*$M105*Simulation!$G$10)+(($B$29*$B$13)/365)*$N105*$F105*Simulation!$G$10)</f>
        <v>0</v>
      </c>
      <c r="Q105" s="128">
        <f>IF($E$36=5,($E$22/365)*$C105*$E$36*$F105*Simulation!$G$10,(($E$22/365)*$M105*Simulation!$G$10)+($E$22/365)*$N105*$F105*Simulation!$G$10)</f>
        <v>0</v>
      </c>
      <c r="R105" s="128">
        <f>IF($E$36=5,($E$23*$E$24/365)*$C105*$E$36*$F105*Simulation!$G$10,(($E$23*$E$24/365)*$M105*Simulation!$G$10)+($E$23*$E$24/365)*$N105*$F105*Simulation!$G$10)</f>
        <v>0</v>
      </c>
    </row>
    <row r="106" spans="1:18" s="3" customFormat="1" ht="15" x14ac:dyDescent="0.25">
      <c r="A106" s="127">
        <v>45231</v>
      </c>
      <c r="B106" s="38">
        <v>45231</v>
      </c>
      <c r="C106" s="39">
        <f>MAX(0,MIN(EOMONTH(B106,0),Simulation!$G$12)-MAX(B106,Simulation!$G$11)+1)</f>
        <v>0</v>
      </c>
      <c r="D106" s="197"/>
      <c r="E106" s="202"/>
      <c r="F106" s="39">
        <f>Parameters!B31</f>
        <v>2.0299999999999998</v>
      </c>
      <c r="G106" s="40">
        <f t="shared" si="3"/>
        <v>30</v>
      </c>
      <c r="H106" s="199"/>
      <c r="I106" s="41">
        <f>IF(Simulation!$G$12&gt;=$B$136,IF(AND(YEAR(Simulation!$G$11)=YEAR(A106),MONTH(A106)=MONTH(Simulation!$G$11)),1,0),0)</f>
        <v>0</v>
      </c>
      <c r="J106" s="42">
        <f t="shared" si="7"/>
        <v>0</v>
      </c>
      <c r="K106" s="43" t="str">
        <f t="shared" si="8"/>
        <v>ok</v>
      </c>
      <c r="L106" s="43">
        <f>IF(J106=1,IF(J107=0,IF(DAY(Simulation!$G$11)=1,0,DAY(Simulation!$G$11)-1),0),0)</f>
        <v>0</v>
      </c>
      <c r="M106" s="40">
        <f>IF(AND(J105=1,J106=1,J144=0,DAY(Simulation!$G$11)=1),0,IF(J106=1,IF(L106&lt;&gt;0,L106,C106),0))</f>
        <v>0</v>
      </c>
      <c r="N106" s="44">
        <f t="shared" si="9"/>
        <v>0</v>
      </c>
      <c r="O106" s="45">
        <f>IF($E$36=5,(($B$28*$B$12)/365)*$C106*$E$36*$F106*Simulation!$G$10,((($B$28*$B$12)/365)*$M106*Simulation!$G$10)+(($B$28*$B$12)/365)*$N106*$F106*Simulation!$G$10)</f>
        <v>0</v>
      </c>
      <c r="P106" s="46">
        <f>IF($E$36=5,(($B$29*$B$13)/365)*$C106*$E$36*$F106*Simulation!$G$10,((($B$29*$B$13)/365)*$M106*Simulation!$G$10)+(($B$29*$B$13)/365)*$N106*$F106*Simulation!$G$10)</f>
        <v>0</v>
      </c>
      <c r="Q106" s="128">
        <f>IF($E$36=5,($E$22/365)*$C106*$E$36*$F106*Simulation!$G$10,(($E$22/365)*$M106*Simulation!$G$10)+($E$22/365)*$N106*$F106*Simulation!$G$10)</f>
        <v>0</v>
      </c>
      <c r="R106" s="128">
        <f>IF($E$36=5,($E$23*$E$24/365)*$C106*$E$36*$F106*Simulation!$G$10,(($E$23*$E$24/365)*$M106*Simulation!$G$10)+($E$23*$E$24/365)*$N106*$F106*Simulation!$G$10)</f>
        <v>0</v>
      </c>
    </row>
    <row r="107" spans="1:18" s="3" customFormat="1" ht="15" x14ac:dyDescent="0.25">
      <c r="A107" s="127">
        <v>45261</v>
      </c>
      <c r="B107" s="38">
        <v>45261</v>
      </c>
      <c r="C107" s="39">
        <f>MAX(0,MIN(EOMONTH(B107,0),Simulation!$G$12)-MAX(B107,Simulation!$G$11)+1)</f>
        <v>0</v>
      </c>
      <c r="D107" s="197"/>
      <c r="E107" s="202"/>
      <c r="F107" s="39">
        <f>Parameters!$B$32</f>
        <v>2.3199999999999998</v>
      </c>
      <c r="G107" s="40">
        <f t="shared" si="3"/>
        <v>31</v>
      </c>
      <c r="H107" s="199"/>
      <c r="I107" s="41">
        <f>IF(Simulation!$G$12&gt;=$B$136,IF(AND(YEAR(Simulation!$G$11)=YEAR(A107),MONTH(A107)=MONTH(Simulation!$G$11)),1,0),0)</f>
        <v>0</v>
      </c>
      <c r="J107" s="42">
        <f t="shared" si="7"/>
        <v>0</v>
      </c>
      <c r="K107" s="43" t="str">
        <f t="shared" si="8"/>
        <v>ok</v>
      </c>
      <c r="L107" s="43">
        <f>IF(J107=1,IF(J120=0,IF(DAY(Simulation!$G$11)=1,0,DAY(Simulation!$G$11)-1),0),0)</f>
        <v>0</v>
      </c>
      <c r="M107" s="40">
        <f>IF(AND(J106=1,J107=1,J145=0,DAY(Simulation!$G$11)=1),0,IF(J107=1,IF(L107&lt;&gt;0,L107,C107),0))</f>
        <v>0</v>
      </c>
      <c r="N107" s="44">
        <f t="shared" si="9"/>
        <v>0</v>
      </c>
      <c r="O107" s="45">
        <f>IF($E$36=5,(($B$28*$B$12)/365)*$C107*$E$36*$F107*Simulation!$G$10,((($B$28*$B$12)/365)*$M107*Simulation!$G$10)+(($B$28*$B$12)/365)*$N107*$F107*Simulation!$G$10)</f>
        <v>0</v>
      </c>
      <c r="P107" s="46">
        <f>IF($E$36=5,(($B$29*$B$13)/365)*$C107*$E$36*$F107*Simulation!$G$10,((($B$29*$B$13)/365)*$M107*Simulation!$G$10)+(($B$29*$B$13)/365)*$N107*$F107*Simulation!$G$10)</f>
        <v>0</v>
      </c>
      <c r="Q107" s="128">
        <f>IF($E$36=5,($E$22/365)*$C107*$E$36*$F107*Simulation!$G$10,(($E$22/365)*$M107*Simulation!$G$10)+($E$22/365)*$N107*$F107*Simulation!$G$10)</f>
        <v>0</v>
      </c>
      <c r="R107" s="128">
        <f>IF($E$36=5,($E$23*$E$24/365)*$C107*$E$36*$F107*Simulation!$G$10,(($E$23*$E$24/365)*$M107*Simulation!$G$10)+($E$23*$E$24/365)*$N107*$F107*Simulation!$G$10)</f>
        <v>0</v>
      </c>
    </row>
    <row r="108" spans="1:18" s="3" customFormat="1" ht="15" x14ac:dyDescent="0.25">
      <c r="A108" s="127">
        <v>45292</v>
      </c>
      <c r="B108" s="38">
        <v>45292</v>
      </c>
      <c r="C108" s="39">
        <f>MAX(0,MIN(EOMONTH(B108,0),Simulation!$G$12)-MAX(B108,Simulation!$G$11)+1)</f>
        <v>0</v>
      </c>
      <c r="D108" s="197"/>
      <c r="E108" s="202"/>
      <c r="F108" s="39">
        <f>Parameters!$B$21</f>
        <v>2.5375000000000001</v>
      </c>
      <c r="G108" s="40">
        <f t="shared" si="3"/>
        <v>31</v>
      </c>
      <c r="H108" s="199"/>
      <c r="I108" s="41">
        <f>IF(Simulation!$G$12&gt;=$B$136,IF(AND(YEAR(Simulation!$G$11)=YEAR(A108),MONTH(A108)=MONTH(Simulation!$G$11)),1,0),0)</f>
        <v>0</v>
      </c>
      <c r="J108" s="42">
        <f>IF($H$36=0,0,IF($H$36=1,SUM(I96:I108),IF($H$36=2,SUM(I84:I108),IF($H$36=3,SUM(I72:I108),IF($H$36=4,SUM(I60:I108),"more than 4 years")))))</f>
        <v>0</v>
      </c>
      <c r="K108" s="43" t="str">
        <f t="shared" si="8"/>
        <v>ok</v>
      </c>
      <c r="L108" s="43">
        <f>IF(J108=1,IF(J134=0,IF(DAY(Simulation!$G$11)=1,0,DAY(Simulation!$G$11)-1),0),0)</f>
        <v>0</v>
      </c>
      <c r="M108" s="40">
        <f>IF(AND(J107=1,J108=1,J146=0,DAY(Simulation!$G$11)=1),0,IF(J108=1,IF(L108&lt;&gt;0,L108,C108),0))</f>
        <v>0</v>
      </c>
      <c r="N108" s="44">
        <f t="shared" ref="N108:N119" si="10">MAX(0,C108-M108)</f>
        <v>0</v>
      </c>
      <c r="O108" s="45">
        <f>IF($E$36=5,(($B$28*$B$12)/365)*$C108*$E$36*$F108*Simulation!$G$10,((($B$28*$B$12)/365)*$M108*Simulation!$G$10)+(($B$28*$B$12)/365)*$N108*$F108*Simulation!$G$10)</f>
        <v>0</v>
      </c>
      <c r="P108" s="46">
        <f>IF($E$36=5,(($B$29*$B$13)/365)*$C108*$E$36*$F108*Simulation!$G$10,((($B$29*$B$13)/365)*$M108*Simulation!$G$10)+(($B$29*$B$13)/365)*$N108*$F108*Simulation!$G$10)</f>
        <v>0</v>
      </c>
      <c r="Q108" s="128">
        <f>IF($E$36=5,($E$22/365)*$C108*$E$36*$F108*Simulation!$G$10,(($E$22/365)*$M108*Simulation!$G$10)+($E$22/365)*$N108*$F108*Simulation!$G$10)</f>
        <v>0</v>
      </c>
      <c r="R108" s="128">
        <f>IF($E$36=5,($E$23*$E$24/365)*$C108*$E$36*$F108*Simulation!$G$10,(($E$23*$E$24/365)*$M108*Simulation!$G$10)+($E$23*$E$24/365)*$N108*$F108*Simulation!$G$10)</f>
        <v>0</v>
      </c>
    </row>
    <row r="109" spans="1:18" s="3" customFormat="1" ht="15" x14ac:dyDescent="0.25">
      <c r="A109" s="127">
        <v>45323</v>
      </c>
      <c r="B109" s="38">
        <v>45323</v>
      </c>
      <c r="C109" s="39">
        <f>MAX(0,MIN(EOMONTH(B109,0),Simulation!$G$12)-MAX(B109,Simulation!$G$11)+1)</f>
        <v>0</v>
      </c>
      <c r="D109" s="197"/>
      <c r="E109" s="202"/>
      <c r="F109" s="39">
        <f>Parameters!$B$22</f>
        <v>2.2475000000000001</v>
      </c>
      <c r="G109" s="40">
        <f t="shared" si="3"/>
        <v>29</v>
      </c>
      <c r="H109" s="199"/>
      <c r="I109" s="41">
        <f>IF(Simulation!$G$12&gt;=$B$136,IF(AND(YEAR(Simulation!$G$11)=YEAR(A109),MONTH(A109)=MONTH(Simulation!$G$11)),1,0),0)</f>
        <v>0</v>
      </c>
      <c r="J109" s="42">
        <f t="shared" ref="J109:J119" si="11">IF($H$36=0,0,IF($H$36=1,SUM(I97:I109),IF($H$36=2,SUM(I85:I109),IF($H$36=3,SUM(I73:I109),IF($H$36=4,SUM(I61:I109),"more than 4 years")))))</f>
        <v>0</v>
      </c>
      <c r="K109" s="43" t="str">
        <f t="shared" si="8"/>
        <v>ok</v>
      </c>
      <c r="L109" s="43">
        <f>IF(J109=1,IF(J135=0,IF(DAY(Simulation!$G$11)=1,0,DAY(Simulation!$G$11)-1),0),0)</f>
        <v>0</v>
      </c>
      <c r="M109" s="40">
        <f>IF(AND(J108=1,J109=1,J147=0,DAY(Simulation!$G$11)=1),0,IF(J109=1,IF(L109&lt;&gt;0,L109,C109),0))</f>
        <v>0</v>
      </c>
      <c r="N109" s="44">
        <f t="shared" si="10"/>
        <v>0</v>
      </c>
      <c r="O109" s="45">
        <f>IF($E$36=5,(($B$28*$B$12)/365)*$C109*$E$36*$F109*Simulation!$G$10,((($B$28*$B$12)/365)*$M109*Simulation!$G$10)+(($B$28*$B$12)/365)*$N109*$F109*Simulation!$G$10)</f>
        <v>0</v>
      </c>
      <c r="P109" s="46">
        <f>IF($E$36=5,(($B$29*$B$13)/365)*$C109*$E$36*$F109*Simulation!$G$10,((($B$29*$B$13)/365)*$M109*Simulation!$G$10)+(($B$29*$B$13)/365)*$N109*$F109*Simulation!$G$10)</f>
        <v>0</v>
      </c>
      <c r="Q109" s="128">
        <f>IF($E$36=5,($E$22/365)*$C109*$E$36*$F109*Simulation!$G$10,(($E$22/365)*$M109*Simulation!$G$10)+($E$22/365)*$N109*$F109*Simulation!$G$10)</f>
        <v>0</v>
      </c>
      <c r="R109" s="128">
        <f>IF($E$36=5,($E$23*$E$24/365)*$C109*$E$36*$F109*Simulation!$G$10,(($E$23*$E$24/365)*$M109*Simulation!$G$10)+($E$23*$E$24/365)*$N109*$F109*Simulation!$G$10)</f>
        <v>0</v>
      </c>
    </row>
    <row r="110" spans="1:18" s="3" customFormat="1" ht="15" x14ac:dyDescent="0.25">
      <c r="A110" s="127">
        <v>45352</v>
      </c>
      <c r="B110" s="38">
        <v>45352</v>
      </c>
      <c r="C110" s="39">
        <f>MAX(0,MIN(EOMONTH(B110,0),Simulation!$G$12)-MAX(B110,Simulation!$G$11)+1)</f>
        <v>0</v>
      </c>
      <c r="D110" s="197"/>
      <c r="E110" s="202"/>
      <c r="F110" s="39">
        <f>Parameters!$B$23</f>
        <v>1.885</v>
      </c>
      <c r="G110" s="40">
        <f t="shared" si="3"/>
        <v>31</v>
      </c>
      <c r="H110" s="199"/>
      <c r="I110" s="41">
        <f>IF(Simulation!$G$12&gt;=$B$136,IF(AND(YEAR(Simulation!$G$11)=YEAR(A110),MONTH(A110)=MONTH(Simulation!$G$11)),1,0),0)</f>
        <v>0</v>
      </c>
      <c r="J110" s="42">
        <f t="shared" si="11"/>
        <v>0</v>
      </c>
      <c r="K110" s="43" t="str">
        <f t="shared" si="8"/>
        <v>ok</v>
      </c>
      <c r="L110" s="43">
        <f>IF(J110=1,IF(J136=0,IF(DAY(Simulation!$G$11)=1,0,DAY(Simulation!$G$11)-1),0),0)</f>
        <v>0</v>
      </c>
      <c r="M110" s="40">
        <f>IF(AND(J109=1,J110=1,J148=0,DAY(Simulation!$G$11)=1),0,IF(J110=1,IF(L110&lt;&gt;0,L110,C110),0))</f>
        <v>0</v>
      </c>
      <c r="N110" s="44">
        <f t="shared" si="10"/>
        <v>0</v>
      </c>
      <c r="O110" s="45">
        <f>IF($E$36=5,(($B$28*$B$12)/365)*$C110*$E$36*$F110*Simulation!$G$10,((($B$28*$B$12)/365)*$M110*Simulation!$G$10)+(($B$28*$B$12)/365)*$N110*$F110*Simulation!$G$10)</f>
        <v>0</v>
      </c>
      <c r="P110" s="46">
        <f>IF($E$36=5,(($B$29*$B$13)/365)*$C110*$E$36*$F110*Simulation!$G$10,((($B$29*$B$13)/365)*$M110*Simulation!$G$10)+(($B$29*$B$13)/365)*$N110*$F110*Simulation!$G$10)</f>
        <v>0</v>
      </c>
      <c r="Q110" s="128">
        <f>IF($E$36=5,($E$22/365)*$C110*$E$36*$F110*Simulation!$G$10,(($E$22/365)*$M110*Simulation!$G$10)+($E$22/365)*$N110*$F110*Simulation!$G$10)</f>
        <v>0</v>
      </c>
      <c r="R110" s="128">
        <f>IF($E$36=5,($E$23*$E$24/365)*$C110*$E$36*$F110*Simulation!$G$10,(($E$23*$E$24/365)*$M110*Simulation!$G$10)+($E$23*$E$24/365)*$N110*$F110*Simulation!$G$10)</f>
        <v>0</v>
      </c>
    </row>
    <row r="111" spans="1:18" s="3" customFormat="1" ht="15" x14ac:dyDescent="0.25">
      <c r="A111" s="127">
        <v>45383</v>
      </c>
      <c r="B111" s="38">
        <v>45383</v>
      </c>
      <c r="C111" s="39">
        <f>MAX(0,MIN(EOMONTH(B111,0),Simulation!$G$12)-MAX(B111,Simulation!$G$11)+1)</f>
        <v>0</v>
      </c>
      <c r="D111" s="197"/>
      <c r="E111" s="202"/>
      <c r="F111" s="39">
        <f>Parameters!$B$24</f>
        <v>1.3774999999999999</v>
      </c>
      <c r="G111" s="40">
        <f t="shared" si="3"/>
        <v>30</v>
      </c>
      <c r="H111" s="199"/>
      <c r="I111" s="41">
        <f>IF(Simulation!$G$12&gt;=$B$136,IF(AND(YEAR(Simulation!$G$11)=YEAR(A111),MONTH(A111)=MONTH(Simulation!$G$11)),1,0),0)</f>
        <v>0</v>
      </c>
      <c r="J111" s="42">
        <f t="shared" si="11"/>
        <v>0</v>
      </c>
      <c r="K111" s="43" t="str">
        <f t="shared" si="8"/>
        <v>ok</v>
      </c>
      <c r="L111" s="43">
        <f>IF(J111=1,IF(J137=0,IF(DAY(Simulation!$G$11)=1,0,DAY(Simulation!$G$11)-1),0),0)</f>
        <v>0</v>
      </c>
      <c r="M111" s="40">
        <f>IF(AND(J110=1,J111=1,J149=0,DAY(Simulation!$G$11)=1),0,IF(J111=1,IF(L111&lt;&gt;0,L111,C111),0))</f>
        <v>0</v>
      </c>
      <c r="N111" s="44">
        <f t="shared" si="10"/>
        <v>0</v>
      </c>
      <c r="O111" s="45">
        <f>IF($E$36=5,(($B$28*$B$12)/365)*$C111*$E$36*$F111*Simulation!$G$10,((($B$28*$B$12)/365)*$M111*Simulation!$G$10)+(($B$28*$B$12)/365)*$N111*$F111*Simulation!$G$10)</f>
        <v>0</v>
      </c>
      <c r="P111" s="46">
        <f>IF($E$36=5,(($B$29*$B$13)/365)*$C111*$E$36*$F111*Simulation!$G$10,((($B$29*$B$13)/365)*$M111*Simulation!$G$10)+(($B$29*$B$13)/365)*$N111*$F111*Simulation!$G$10)</f>
        <v>0</v>
      </c>
      <c r="Q111" s="128">
        <f>IF($E$36=5,($E$22/365)*$C111*$E$36*$F111*Simulation!$G$10,(($E$22/365)*$M111*Simulation!$G$10)+($E$22/365)*$N111*$F111*Simulation!$G$10)</f>
        <v>0</v>
      </c>
      <c r="R111" s="128">
        <f>IF($E$36=5,($E$23*$E$24/365)*$C111*$E$36*$F111*Simulation!$G$10,(($E$23*$E$24/365)*$M111*Simulation!$G$10)+($E$23*$E$24/365)*$N111*$F111*Simulation!$G$10)</f>
        <v>0</v>
      </c>
    </row>
    <row r="112" spans="1:18" s="3" customFormat="1" ht="15" x14ac:dyDescent="0.25">
      <c r="A112" s="127">
        <v>45413</v>
      </c>
      <c r="B112" s="38">
        <v>45413</v>
      </c>
      <c r="C112" s="39">
        <f>MAX(0,MIN(EOMONTH(B112,0),Simulation!$G$12)-MAX(B112,Simulation!$G$11)+1)</f>
        <v>0</v>
      </c>
      <c r="D112" s="197"/>
      <c r="E112" s="202"/>
      <c r="F112" s="39">
        <f>Parameters!$B$25</f>
        <v>0.9425</v>
      </c>
      <c r="G112" s="40">
        <f t="shared" si="3"/>
        <v>31</v>
      </c>
      <c r="H112" s="199"/>
      <c r="I112" s="41">
        <f>IF(Simulation!$G$12&gt;=$B$136,IF(AND(YEAR(Simulation!$G$11)=YEAR(A112),MONTH(A112)=MONTH(Simulation!$G$11)),1,0),0)</f>
        <v>0</v>
      </c>
      <c r="J112" s="42">
        <f t="shared" si="11"/>
        <v>0</v>
      </c>
      <c r="K112" s="43" t="str">
        <f t="shared" si="8"/>
        <v>ok</v>
      </c>
      <c r="L112" s="43">
        <f>IF(J112=1,IF(J138=0,IF(DAY(Simulation!$G$11)=1,0,DAY(Simulation!$G$11)-1),0),0)</f>
        <v>0</v>
      </c>
      <c r="M112" s="40">
        <f>IF(AND(J111=1,J112=1,J150=0,DAY(Simulation!$G$11)=1),0,IF(J112=1,IF(L112&lt;&gt;0,L112,C112),0))</f>
        <v>0</v>
      </c>
      <c r="N112" s="44">
        <f t="shared" si="10"/>
        <v>0</v>
      </c>
      <c r="O112" s="45">
        <f>IF($E$36=5,(($B$28*$B$12)/365)*$C112*$E$36*$F112*Simulation!$G$10,((($B$28*$B$12)/365)*$M112*Simulation!$G$10)+(($B$28*$B$12)/365)*$N112*$F112*Simulation!$G$10)</f>
        <v>0</v>
      </c>
      <c r="P112" s="46">
        <f>IF($E$36=5,(($B$29*$B$13)/365)*$C112*$E$36*$F112*Simulation!$G$10,((($B$29*$B$13)/365)*$M112*Simulation!$G$10)+(($B$29*$B$13)/365)*$N112*$F112*Simulation!$G$10)</f>
        <v>0</v>
      </c>
      <c r="Q112" s="128">
        <f>IF($E$36=5,($E$22/365)*$C112*$E$36*$F112*Simulation!$G$10,(($E$22/365)*$M112*Simulation!$G$10)+($E$22/365)*$N112*$F112*Simulation!$G$10)</f>
        <v>0</v>
      </c>
      <c r="R112" s="128">
        <f>IF($E$36=5,($E$23*$E$24/365)*$C112*$E$36*$F112*Simulation!$G$10,(($E$23*$E$24/365)*$M112*Simulation!$G$10)+($E$23*$E$24/365)*$N112*$F112*Simulation!$G$10)</f>
        <v>0</v>
      </c>
    </row>
    <row r="113" spans="1:18" s="3" customFormat="1" ht="15" x14ac:dyDescent="0.25">
      <c r="A113" s="127">
        <v>45444</v>
      </c>
      <c r="B113" s="38">
        <v>45444</v>
      </c>
      <c r="C113" s="39">
        <f>MAX(0,MIN(EOMONTH(B113,0),Simulation!$G$12)-MAX(B113,Simulation!$G$11)+1)</f>
        <v>0</v>
      </c>
      <c r="D113" s="197"/>
      <c r="E113" s="202"/>
      <c r="F113" s="39">
        <f>Parameters!$B$26</f>
        <v>0.72499999999999998</v>
      </c>
      <c r="G113" s="40">
        <f t="shared" si="3"/>
        <v>30</v>
      </c>
      <c r="H113" s="199"/>
      <c r="I113" s="41">
        <f>IF(Simulation!$G$12&gt;=$B$136,IF(AND(YEAR(Simulation!$G$11)=YEAR(A113),MONTH(A113)=MONTH(Simulation!$G$11)),1,0),0)</f>
        <v>0</v>
      </c>
      <c r="J113" s="42">
        <f t="shared" si="11"/>
        <v>0</v>
      </c>
      <c r="K113" s="43" t="str">
        <f t="shared" si="8"/>
        <v>ok</v>
      </c>
      <c r="L113" s="43">
        <f>IF(J113=1,IF(J139=0,IF(DAY(Simulation!$G$11)=1,0,DAY(Simulation!$G$11)-1),0),0)</f>
        <v>0</v>
      </c>
      <c r="M113" s="40">
        <f>IF(AND(J112=1,J113=1,J151=0,DAY(Simulation!$G$11)=1),0,IF(J113=1,IF(L113&lt;&gt;0,L113,C113),0))</f>
        <v>0</v>
      </c>
      <c r="N113" s="44">
        <f t="shared" si="10"/>
        <v>0</v>
      </c>
      <c r="O113" s="45">
        <f>IF($E$36=5,(($B$28*$B$12)/365)*$C113*$E$36*$F113*Simulation!$G$10,((($B$28*$B$12)/365)*$M113*Simulation!$G$10)+(($B$28*$B$12)/365)*$N113*$F113*Simulation!$G$10)</f>
        <v>0</v>
      </c>
      <c r="P113" s="46">
        <f>IF($E$36=5,(($B$29*$B$13)/365)*$C113*$E$36*$F113*Simulation!$G$10,((($B$29*$B$13)/365)*$M113*Simulation!$G$10)+(($B$29*$B$13)/365)*$N113*$F113*Simulation!$G$10)</f>
        <v>0</v>
      </c>
      <c r="Q113" s="128">
        <f>IF($E$36=5,($E$22/365)*$C113*$E$36*$F113*Simulation!$G$10,(($E$22/365)*$M113*Simulation!$G$10)+($E$22/365)*$N113*$F113*Simulation!$G$10)</f>
        <v>0</v>
      </c>
      <c r="R113" s="128">
        <f>IF($E$36=5,($E$23*$E$24/365)*$C113*$E$36*$F113*Simulation!$G$10,(($E$23*$E$24/365)*$M113*Simulation!$G$10)+($E$23*$E$24/365)*$N113*$F113*Simulation!$G$10)</f>
        <v>0</v>
      </c>
    </row>
    <row r="114" spans="1:18" s="3" customFormat="1" ht="15" x14ac:dyDescent="0.25">
      <c r="A114" s="127">
        <v>45474</v>
      </c>
      <c r="B114" s="38">
        <v>45474</v>
      </c>
      <c r="C114" s="39">
        <f>MAX(0,MIN(EOMONTH(B114,0),Simulation!$G$12)-MAX(B114,Simulation!$G$11)+1)</f>
        <v>0</v>
      </c>
      <c r="D114" s="197"/>
      <c r="E114" s="202"/>
      <c r="F114" s="39">
        <f>Parameters!$B$27</f>
        <v>0.72499999999999998</v>
      </c>
      <c r="G114" s="40">
        <f t="shared" si="3"/>
        <v>31</v>
      </c>
      <c r="H114" s="199"/>
      <c r="I114" s="41">
        <f>IF(Simulation!$G$12&gt;=$B$136,IF(AND(YEAR(Simulation!$G$11)=YEAR(A114),MONTH(A114)=MONTH(Simulation!$G$11)),1,0),0)</f>
        <v>0</v>
      </c>
      <c r="J114" s="42">
        <f t="shared" si="11"/>
        <v>0</v>
      </c>
      <c r="K114" s="43" t="str">
        <f t="shared" si="8"/>
        <v>ok</v>
      </c>
      <c r="L114" s="43">
        <f>IF(J114=1,IF(J140=0,IF(DAY(Simulation!$G$11)=1,0,DAY(Simulation!$G$11)-1),0),0)</f>
        <v>0</v>
      </c>
      <c r="M114" s="40">
        <f>IF(AND(J113=1,J114=1,J152=0,DAY(Simulation!$G$11)=1),0,IF(J114=1,IF(L114&lt;&gt;0,L114,C114),0))</f>
        <v>0</v>
      </c>
      <c r="N114" s="44">
        <f t="shared" si="10"/>
        <v>0</v>
      </c>
      <c r="O114" s="45">
        <f>IF($E$36=5,(($B$28*$B$12)/365)*$C114*$E$36*$F114*Simulation!$G$10,((($B$28*$B$12)/365)*$M114*Simulation!$G$10)+(($B$28*$B$12)/365)*$N114*$F114*Simulation!$G$10)</f>
        <v>0</v>
      </c>
      <c r="P114" s="46">
        <f>IF($E$36=5,(($B$29*$B$13)/365)*$C114*$E$36*$F114*Simulation!$G$10,((($B$29*$B$13)/365)*$M114*Simulation!$G$10)+(($B$29*$B$13)/365)*$N114*$F114*Simulation!$G$10)</f>
        <v>0</v>
      </c>
      <c r="Q114" s="128">
        <f>IF($E$36=5,($E$22/365)*$C114*$E$36*$F114*Simulation!$G$10,(($E$22/365)*$M114*Simulation!$G$10)+($E$22/365)*$N114*$F114*Simulation!$G$10)</f>
        <v>0</v>
      </c>
      <c r="R114" s="128">
        <f>IF($E$36=5,($E$23*$E$24/365)*$C114*$E$36*$F114*Simulation!$G$10,(($E$23*$E$24/365)*$M114*Simulation!$G$10)+($E$23*$E$24/365)*$N114*$F114*Simulation!$G$10)</f>
        <v>0</v>
      </c>
    </row>
    <row r="115" spans="1:18" s="3" customFormat="1" ht="15" x14ac:dyDescent="0.25">
      <c r="A115" s="127">
        <v>45505</v>
      </c>
      <c r="B115" s="38">
        <v>45505</v>
      </c>
      <c r="C115" s="39">
        <f>MAX(0,MIN(EOMONTH(B115,0),Simulation!$G$12)-MAX(B115,Simulation!$G$11)+1)</f>
        <v>0</v>
      </c>
      <c r="D115" s="197"/>
      <c r="E115" s="202"/>
      <c r="F115" s="39">
        <f>Parameters!B28</f>
        <v>0.72499999999999998</v>
      </c>
      <c r="G115" s="40">
        <f t="shared" si="3"/>
        <v>31</v>
      </c>
      <c r="H115" s="199"/>
      <c r="I115" s="41">
        <f>IF(Simulation!$G$12&gt;=$B$136,IF(AND(YEAR(Simulation!$G$11)=YEAR(A115),MONTH(A115)=MONTH(Simulation!$G$11)),1,0),0)</f>
        <v>0</v>
      </c>
      <c r="J115" s="42">
        <f t="shared" si="11"/>
        <v>0</v>
      </c>
      <c r="K115" s="43" t="str">
        <f t="shared" si="8"/>
        <v>ok</v>
      </c>
      <c r="L115" s="43">
        <f>IF(J115=1,IF(J141=0,IF(DAY(Simulation!$G$11)=1,0,DAY(Simulation!$G$11)-1),0),0)</f>
        <v>0</v>
      </c>
      <c r="M115" s="40">
        <f>IF(AND(J114=1,J115=1,J153=0,DAY(Simulation!$G$11)=1),0,IF(J115=1,IF(L115&lt;&gt;0,L115,C115),0))</f>
        <v>0</v>
      </c>
      <c r="N115" s="44">
        <f t="shared" si="10"/>
        <v>0</v>
      </c>
      <c r="O115" s="45">
        <f>IF($E$36=5,(($B$28*$B$12)/365)*$C115*$E$36*$F115*Simulation!$G$10,((($B$28*$B$12)/365)*$M115*Simulation!$G$10)+(($B$28*$B$12)/365)*$N115*$F115*Simulation!$G$10)</f>
        <v>0</v>
      </c>
      <c r="P115" s="46">
        <f>IF($E$36=5,(($B$29*$B$13)/365)*$C115*$E$36*$F115*Simulation!$G$10,((($B$29*$B$13)/365)*$M115*Simulation!$G$10)+(($B$29*$B$13)/365)*$N115*$F115*Simulation!$G$10)</f>
        <v>0</v>
      </c>
      <c r="Q115" s="128">
        <f>IF($E$36=5,($E$22/365)*$C115*$E$36*$F115*Simulation!$G$10,(($E$22/365)*$M115*Simulation!$G$10)+($E$22/365)*$N115*$F115*Simulation!$G$10)</f>
        <v>0</v>
      </c>
      <c r="R115" s="128">
        <f>IF($E$36=5,($E$23*$E$24/365)*$C115*$E$36*$F115*Simulation!$G$10,(($E$23*$E$24/365)*$M115*Simulation!$G$10)+($E$23*$E$24/365)*$N115*$F115*Simulation!$G$10)</f>
        <v>0</v>
      </c>
    </row>
    <row r="116" spans="1:18" s="3" customFormat="1" ht="15" x14ac:dyDescent="0.25">
      <c r="A116" s="127">
        <v>45536</v>
      </c>
      <c r="B116" s="38">
        <v>45536</v>
      </c>
      <c r="C116" s="39">
        <f>MAX(0,MIN(EOMONTH(B116,0),Simulation!$G$12)-MAX(B116,Simulation!$G$11)+1)</f>
        <v>0</v>
      </c>
      <c r="D116" s="197"/>
      <c r="E116" s="202"/>
      <c r="F116" s="39">
        <f>Parameters!$B$29</f>
        <v>0.9425</v>
      </c>
      <c r="G116" s="40">
        <f t="shared" si="3"/>
        <v>30</v>
      </c>
      <c r="H116" s="199"/>
      <c r="I116" s="41">
        <f>IF(Simulation!$G$12&gt;=$B$136,IF(AND(YEAR(Simulation!$G$11)=YEAR(A116),MONTH(A116)=MONTH(Simulation!$G$11)),1,0),0)</f>
        <v>0</v>
      </c>
      <c r="J116" s="42">
        <f t="shared" si="11"/>
        <v>0</v>
      </c>
      <c r="K116" s="43" t="str">
        <f t="shared" si="8"/>
        <v>ok</v>
      </c>
      <c r="L116" s="43">
        <f>IF(J116=1,IF(J142=0,IF(DAY(Simulation!$G$11)=1,0,DAY(Simulation!$G$11)-1),0),0)</f>
        <v>0</v>
      </c>
      <c r="M116" s="40">
        <f>IF(AND(J115=1,J116=1,J154=0,DAY(Simulation!$G$11)=1),0,IF(J116=1,IF(L116&lt;&gt;0,L116,C116),0))</f>
        <v>0</v>
      </c>
      <c r="N116" s="44">
        <f t="shared" si="10"/>
        <v>0</v>
      </c>
      <c r="O116" s="45">
        <f>IF($E$36=5,(($B$28*$B$12)/365)*$C116*$E$36*$F116*Simulation!$G$10,((($B$28*$B$12)/365)*$M116*Simulation!$G$10)+(($B$28*$B$12)/365)*$N116*$F116*Simulation!$G$10)</f>
        <v>0</v>
      </c>
      <c r="P116" s="46">
        <f>IF($E$36=5,(($B$29*$B$13)/365)*$C116*$E$36*$F116*Simulation!$G$10,((($B$29*$B$13)/365)*$M116*Simulation!$G$10)+(($B$29*$B$13)/365)*$N116*$F116*Simulation!$G$10)</f>
        <v>0</v>
      </c>
      <c r="Q116" s="128">
        <f>IF($E$36=5,($E$22/365)*$C116*$E$36*$F116*Simulation!$G$10,(($E$22/365)*$M116*Simulation!$G$10)+($E$22/365)*$N116*$F116*Simulation!$G$10)</f>
        <v>0</v>
      </c>
      <c r="R116" s="128">
        <f>IF($E$36=5,($E$23*$E$24/365)*$C116*$E$36*$F116*Simulation!$G$10,(($E$23*$E$24/365)*$M116*Simulation!$G$10)+($E$23*$E$24/365)*$N116*$F116*Simulation!$G$10)</f>
        <v>0</v>
      </c>
    </row>
    <row r="117" spans="1:18" s="3" customFormat="1" ht="15" x14ac:dyDescent="0.25">
      <c r="A117" s="127">
        <v>45566</v>
      </c>
      <c r="B117" s="38">
        <v>45566</v>
      </c>
      <c r="C117" s="39">
        <f>MAX(0,MIN(EOMONTH(B117,0),Simulation!$G$12)-MAX(B117,Simulation!$G$11)+1)</f>
        <v>0</v>
      </c>
      <c r="D117" s="197"/>
      <c r="E117" s="202"/>
      <c r="F117" s="39">
        <f>Parameters!$B$30</f>
        <v>1.5225</v>
      </c>
      <c r="G117" s="40">
        <f t="shared" si="3"/>
        <v>31</v>
      </c>
      <c r="H117" s="199"/>
      <c r="I117" s="41">
        <f>IF(Simulation!$G$12&gt;=$B$136,IF(AND(YEAR(Simulation!$G$11)=YEAR(A117),MONTH(A117)=MONTH(Simulation!$G$11)),1,0),0)</f>
        <v>0</v>
      </c>
      <c r="J117" s="42">
        <f t="shared" si="11"/>
        <v>0</v>
      </c>
      <c r="K117" s="43" t="str">
        <f t="shared" si="8"/>
        <v>ok</v>
      </c>
      <c r="L117" s="43">
        <f>IF(J117=1,IF(J143=0,IF(DAY(Simulation!$G$11)=1,0,DAY(Simulation!$G$11)-1),0),0)</f>
        <v>0</v>
      </c>
      <c r="M117" s="40">
        <f>IF(AND(J116=1,J117=1,J155=0,DAY(Simulation!$G$11)=1),0,IF(J117=1,IF(L117&lt;&gt;0,L117,C117),0))</f>
        <v>0</v>
      </c>
      <c r="N117" s="44">
        <f t="shared" si="10"/>
        <v>0</v>
      </c>
      <c r="O117" s="45">
        <f>IF($E$36=5,(($B$28*$B$12)/365)*$C117*$E$36*$F117*Simulation!$G$10,((($B$28*$B$12)/365)*$M117*Simulation!$G$10)+(($B$28*$B$12)/365)*$N117*$F117*Simulation!$G$10)</f>
        <v>0</v>
      </c>
      <c r="P117" s="46">
        <f>IF($E$36=5,(($B$29*$B$13)/365)*$C117*$E$36*$F117*Simulation!$G$10,((($B$29*$B$13)/365)*$M117*Simulation!$G$10)+(($B$29*$B$13)/365)*$N117*$F117*Simulation!$G$10)</f>
        <v>0</v>
      </c>
      <c r="Q117" s="128">
        <f>IF($E$36=5,($E$22/365)*$C117*$E$36*$F117*Simulation!$G$10,(($E$22/365)*$M117*Simulation!$G$10)+($E$22/365)*$N117*$F117*Simulation!$G$10)</f>
        <v>0</v>
      </c>
      <c r="R117" s="128">
        <f>IF($E$36=5,($E$23*$E$24/365)*$C117*$E$36*$F117*Simulation!$G$10,(($E$23*$E$24/365)*$M117*Simulation!$G$10)+($E$23*$E$24/365)*$N117*$F117*Simulation!$G$10)</f>
        <v>0</v>
      </c>
    </row>
    <row r="118" spans="1:18" s="3" customFormat="1" ht="15" x14ac:dyDescent="0.25">
      <c r="A118" s="127">
        <v>45597</v>
      </c>
      <c r="B118" s="38">
        <v>45597</v>
      </c>
      <c r="C118" s="39">
        <f>MAX(0,MIN(EOMONTH(B118,0),Simulation!$G$12)-MAX(B118,Simulation!$G$11)+1)</f>
        <v>0</v>
      </c>
      <c r="D118" s="197"/>
      <c r="E118" s="202"/>
      <c r="F118" s="39">
        <f>Parameters!$B$31</f>
        <v>2.0299999999999998</v>
      </c>
      <c r="G118" s="40">
        <f t="shared" si="3"/>
        <v>30</v>
      </c>
      <c r="H118" s="199"/>
      <c r="I118" s="41">
        <f>IF(Simulation!$G$12&gt;=$B$136,IF(AND(YEAR(Simulation!$G$11)=YEAR(A118),MONTH(A118)=MONTH(Simulation!$G$11)),1,0),0)</f>
        <v>0</v>
      </c>
      <c r="J118" s="42">
        <f t="shared" si="11"/>
        <v>0</v>
      </c>
      <c r="K118" s="43" t="str">
        <f t="shared" si="8"/>
        <v>ok</v>
      </c>
      <c r="L118" s="43">
        <f>IF(J118=1,IF(J144=0,IF(DAY(Simulation!$G$11)=1,0,DAY(Simulation!$G$11)-1),0),0)</f>
        <v>0</v>
      </c>
      <c r="M118" s="40">
        <f>IF(AND(J117=1,J118=1,J156=0,DAY(Simulation!$G$11)=1),0,IF(J118=1,IF(L118&lt;&gt;0,L118,C118),0))</f>
        <v>0</v>
      </c>
      <c r="N118" s="44">
        <f t="shared" si="10"/>
        <v>0</v>
      </c>
      <c r="O118" s="45">
        <f>IF($E$36=5,(($B$28*$B$12)/365)*$C118*$E$36*$F118*Simulation!$G$10,((($B$28*$B$12)/365)*$M118*Simulation!$G$10)+(($B$28*$B$12)/365)*$N118*$F118*Simulation!$G$10)</f>
        <v>0</v>
      </c>
      <c r="P118" s="46">
        <f>IF($E$36=5,(($B$29*$B$13)/365)*$C118*$E$36*$F118*Simulation!$G$10,((($B$29*$B$13)/365)*$M118*Simulation!$G$10)+(($B$29*$B$13)/365)*$N118*$F118*Simulation!$G$10)</f>
        <v>0</v>
      </c>
      <c r="Q118" s="128">
        <f>IF($E$36=5,($E$22/365)*$C118*$E$36*$F118*Simulation!$G$10,(($E$22/365)*$M118*Simulation!$G$10)+($E$22/365)*$N118*$F118*Simulation!$G$10)</f>
        <v>0</v>
      </c>
      <c r="R118" s="128">
        <f>IF($E$36=5,($E$23*$E$24/365)*$C118*$E$36*$F118*Simulation!$G$10,(($E$23*$E$24/365)*$M118*Simulation!$G$10)+($E$23*$E$24/365)*$N118*$F118*Simulation!$G$10)</f>
        <v>0</v>
      </c>
    </row>
    <row r="119" spans="1:18" s="3" customFormat="1" ht="15" x14ac:dyDescent="0.25">
      <c r="A119" s="127">
        <v>45627</v>
      </c>
      <c r="B119" s="38">
        <v>45627</v>
      </c>
      <c r="C119" s="39">
        <f>MAX(0,MIN(EOMONTH(B119,0),Simulation!$G$12)-MAX(B119,Simulation!$G$11)+1)</f>
        <v>0</v>
      </c>
      <c r="D119" s="197"/>
      <c r="E119" s="202"/>
      <c r="F119" s="39">
        <f>Parameters!$B$32</f>
        <v>2.3199999999999998</v>
      </c>
      <c r="G119" s="40">
        <f t="shared" si="3"/>
        <v>31</v>
      </c>
      <c r="H119" s="199"/>
      <c r="I119" s="41">
        <f>IF(Simulation!$G$12&gt;=$B$136,IF(AND(YEAR(Simulation!$G$11)=YEAR(A119),MONTH(A119)=MONTH(Simulation!$G$11)),1,0),0)</f>
        <v>0</v>
      </c>
      <c r="J119" s="42">
        <f t="shared" si="11"/>
        <v>0</v>
      </c>
      <c r="K119" s="43" t="str">
        <f t="shared" si="8"/>
        <v>ok</v>
      </c>
      <c r="L119" s="43">
        <f>IF(J119=1,IF(J145=0,IF(DAY(Simulation!$G$11)=1,0,DAY(Simulation!$G$11)-1),0),0)</f>
        <v>0</v>
      </c>
      <c r="M119" s="40">
        <f>IF(AND(J118=1,J119=1,J157=0,DAY(Simulation!$G$11)=1),0,IF(J119=1,IF(L119&lt;&gt;0,L119,C119),0))</f>
        <v>0</v>
      </c>
      <c r="N119" s="44">
        <f t="shared" si="10"/>
        <v>0</v>
      </c>
      <c r="O119" s="45">
        <f>IF($E$36=5,(($B$28*$B$12)/365)*$C119*$E$36*$F119*Simulation!$G$10,((($B$28*$B$12)/365)*$M119*Simulation!$G$10)+(($B$28*$B$12)/365)*$N119*$F119*Simulation!$G$10)</f>
        <v>0</v>
      </c>
      <c r="P119" s="46">
        <f>IF($E$36=5,(($B$29*$B$13)/365)*$C119*$E$36*$F119*Simulation!$G$10,((($B$29*$B$13)/365)*$M119*Simulation!$G$10)+(($B$29*$B$13)/365)*$N119*$F119*Simulation!$G$10)</f>
        <v>0</v>
      </c>
      <c r="Q119" s="128">
        <f>IF($E$36=5,($E$22/365)*$C119*$E$36*$F119*Simulation!$G$10,(($E$22/365)*$M119*Simulation!$G$10)+($E$22/365)*$N119*$F119*Simulation!$G$10)</f>
        <v>0</v>
      </c>
      <c r="R119" s="128">
        <f>IF($E$36=5,($E$23*$E$24/365)*$C119*$E$36*$F119*Simulation!$G$10,(($E$23*$E$24/365)*$M119*Simulation!$G$10)+($E$23*$E$24/365)*$N119*$F119*Simulation!$G$10)</f>
        <v>0</v>
      </c>
    </row>
    <row r="120" spans="1:18" s="2" customFormat="1" ht="15" x14ac:dyDescent="0.25">
      <c r="A120" s="127">
        <v>45658</v>
      </c>
      <c r="B120" s="38">
        <v>45658</v>
      </c>
      <c r="C120" s="39">
        <f>MAX(0,MIN(EOMONTH(B120,0),Simulation!$G$12)-MAX(B120,Simulation!$G$11)+1)</f>
        <v>0</v>
      </c>
      <c r="D120" s="197"/>
      <c r="E120" s="202"/>
      <c r="F120" s="39">
        <f>Parameters!$B$21</f>
        <v>2.5375000000000001</v>
      </c>
      <c r="G120" s="40">
        <f t="shared" si="3"/>
        <v>31</v>
      </c>
      <c r="H120" s="199"/>
      <c r="I120" s="41">
        <f>IF(Simulation!$G$12&gt;=$B$136,IF(AND(YEAR(Simulation!$G$11)=YEAR(A120),MONTH(A120)=MONTH(Simulation!$G$11)),1,0),0)</f>
        <v>0</v>
      </c>
      <c r="J120" s="42">
        <f t="shared" ref="J120:J131" si="12">IF($H$36=0,0,IF($H$36=1,SUM(I108:I120),IF($H$36=2,SUM(I96:I120),IF($H$36=3,SUM(I84:I120),IF($H$36=4,SUM(I72:I120),"more than 4 years")))))</f>
        <v>0</v>
      </c>
      <c r="K120" s="43" t="str">
        <f t="shared" ref="K120:K131" si="13">IF((M120+N120)&lt;&gt;C120,"issue","ok")</f>
        <v>ok</v>
      </c>
      <c r="L120" s="43">
        <f>IF(J120=1,IF(J146=0,IF(DAY(Simulation!$G$11)=1,0,DAY(Simulation!$G$11)-1),0),0)</f>
        <v>0</v>
      </c>
      <c r="M120" s="40">
        <f>IF(AND(J119=1,J120=1,J158=0,DAY(Simulation!$G$11)=1),0,IF(J120=1,IF(L120&lt;&gt;0,L120,C120),0))</f>
        <v>0</v>
      </c>
      <c r="N120" s="44">
        <f t="shared" ref="N120:N131" si="14">MAX(0,C120-M120)</f>
        <v>0</v>
      </c>
      <c r="O120" s="45">
        <f>IF($E$36=5,(($B$28*$B$12)/365)*$C120*$E$36*$F120*Simulation!$G$10,((($B$28*$B$12)/365)*$M120*Simulation!$G$10)+(($B$28*$B$12)/365)*$N120*$F120*Simulation!$G$10)</f>
        <v>0</v>
      </c>
      <c r="P120" s="46">
        <f>IF($E$36=5,(($B$29*$B$13)/365)*$C120*$E$36*$F120*Simulation!$G$10,((($B$29*$B$13)/365)*$M120*Simulation!$G$10)+(($B$29*$B$13)/365)*$N120*$F120*Simulation!$G$10)</f>
        <v>0</v>
      </c>
      <c r="Q120" s="128">
        <f>IF($E$36=5,($E$22/365)*$C120*$E$36*$F120*Simulation!$G$10,(($E$22/365)*$M120*Simulation!$G$10)+($E$22/365)*$N120*$F120*Simulation!$G$10)</f>
        <v>0</v>
      </c>
      <c r="R120" s="128">
        <f>IF($E$36=5,($E$23*$E$24/365)*$C120*$E$36*$F120*Simulation!$G$10,(($E$23*$E$24/365)*$M120*Simulation!$G$10)+($E$23*$E$24/365)*$N120*$F120*Simulation!$G$10)</f>
        <v>0</v>
      </c>
    </row>
    <row r="121" spans="1:18" s="2" customFormat="1" ht="15" x14ac:dyDescent="0.25">
      <c r="A121" s="127">
        <v>45689</v>
      </c>
      <c r="B121" s="38">
        <v>45689</v>
      </c>
      <c r="C121" s="39">
        <f>MAX(0,MIN(EOMONTH(B121,0),Simulation!$G$12)-MAX(B121,Simulation!$G$11)+1)</f>
        <v>15</v>
      </c>
      <c r="D121" s="197"/>
      <c r="E121" s="202"/>
      <c r="F121" s="39">
        <f>Parameters!$B$22</f>
        <v>2.2475000000000001</v>
      </c>
      <c r="G121" s="40">
        <f t="shared" si="3"/>
        <v>28</v>
      </c>
      <c r="H121" s="199"/>
      <c r="I121" s="41">
        <f>IF(Simulation!$G$12&gt;=$B$136,IF(AND(YEAR(Simulation!$G$11)=YEAR(A121),MONTH(A121)=MONTH(Simulation!$G$11)),1,0),0)</f>
        <v>0</v>
      </c>
      <c r="J121" s="42">
        <f t="shared" si="12"/>
        <v>0</v>
      </c>
      <c r="K121" s="43" t="str">
        <f t="shared" si="13"/>
        <v>ok</v>
      </c>
      <c r="L121" s="43">
        <f>IF(J121=1,IF(J147=0,IF(DAY(Simulation!$G$11)=1,0,DAY(Simulation!$G$11)-1),0),0)</f>
        <v>0</v>
      </c>
      <c r="M121" s="40">
        <f>IF(AND(J120=1,J121=1,J159=0,DAY(Simulation!$G$11)=1),0,IF(J121=1,IF(L121&lt;&gt;0,L121,C121),0))</f>
        <v>0</v>
      </c>
      <c r="N121" s="44">
        <f t="shared" si="14"/>
        <v>15</v>
      </c>
      <c r="O121" s="45">
        <f>IF($E$36=5,(($B$28*$B$12)/365)*$C121*$E$36*$F121*Simulation!$G$10,((($B$28*$B$12)/365)*$M121*Simulation!$G$10)+(($B$28*$B$12)/365)*$N121*$F121*Simulation!$G$10)</f>
        <v>515847.4315068493</v>
      </c>
      <c r="P121" s="46">
        <f>IF($E$36=5,(($B$29*$B$13)/365)*$C121*$E$36*$F121*Simulation!$G$10,((($B$29*$B$13)/365)*$M121*Simulation!$G$10)+(($B$29*$B$13)/365)*$N121*$F121*Simulation!$G$10)</f>
        <v>301103.42465753434</v>
      </c>
      <c r="Q121" s="128">
        <f>IF($E$36=5,($E$22/365)*$C121*$E$36*$F121*Simulation!$G$10,(($E$22/365)*$M121*Simulation!$G$10)+($E$22/365)*$N121*$F121*Simulation!$G$10)</f>
        <v>0</v>
      </c>
      <c r="R121" s="128">
        <f>IF($E$36=5,($E$23*$E$24/365)*$C121*$E$36*$F121*Simulation!$G$10,(($E$23*$E$24/365)*$M121*Simulation!$G$10)+($E$23*$E$24/365)*$N121*$F121*Simulation!$G$10)</f>
        <v>0</v>
      </c>
    </row>
    <row r="122" spans="1:18" s="2" customFormat="1" ht="15" x14ac:dyDescent="0.25">
      <c r="A122" s="127">
        <v>45717</v>
      </c>
      <c r="B122" s="38">
        <v>45717</v>
      </c>
      <c r="C122" s="39">
        <f>MAX(0,MIN(EOMONTH(B122,0),Simulation!$G$12)-MAX(B122,Simulation!$G$11)+1)</f>
        <v>0</v>
      </c>
      <c r="D122" s="197"/>
      <c r="E122" s="202"/>
      <c r="F122" s="39">
        <f>Parameters!$B$23</f>
        <v>1.885</v>
      </c>
      <c r="G122" s="40">
        <f t="shared" si="3"/>
        <v>31</v>
      </c>
      <c r="H122" s="199"/>
      <c r="I122" s="41">
        <f>IF(Simulation!$G$12&gt;=$B$136,IF(AND(YEAR(Simulation!$G$11)=YEAR(A122),MONTH(A122)=MONTH(Simulation!$G$11)),1,0),0)</f>
        <v>0</v>
      </c>
      <c r="J122" s="42">
        <f t="shared" si="12"/>
        <v>0</v>
      </c>
      <c r="K122" s="43" t="str">
        <f t="shared" si="13"/>
        <v>ok</v>
      </c>
      <c r="L122" s="43">
        <f>IF(J122=1,IF(J148=0,IF(DAY(Simulation!$G$11)=1,0,DAY(Simulation!$G$11)-1),0),0)</f>
        <v>0</v>
      </c>
      <c r="M122" s="40">
        <f>IF(AND(J121=1,J122=1,J160=0,DAY(Simulation!$G$11)=1),0,IF(J122=1,IF(L122&lt;&gt;0,L122,C122),0))</f>
        <v>0</v>
      </c>
      <c r="N122" s="44">
        <f t="shared" si="14"/>
        <v>0</v>
      </c>
      <c r="O122" s="45">
        <f>IF($E$36=5,(($B$28*$B$12)/365)*$C122*$E$36*$F122*Simulation!$G$10,((($B$28*$B$12)/365)*$M122*Simulation!$G$10)+(($B$28*$B$12)/365)*$N122*$F122*Simulation!$G$10)</f>
        <v>0</v>
      </c>
      <c r="P122" s="46">
        <f>IF($E$36=5,(($B$29*$B$13)/365)*$C122*$E$36*$F122*Simulation!$G$10,((($B$29*$B$13)/365)*$M122*Simulation!$G$10)+(($B$29*$B$13)/365)*$N122*$F122*Simulation!$G$10)</f>
        <v>0</v>
      </c>
      <c r="Q122" s="128">
        <f>IF($E$36=5,($E$22/365)*$C122*$E$36*$F122*Simulation!$G$10,(($E$22/365)*$M122*Simulation!$G$10)+($E$22/365)*$N122*$F122*Simulation!$G$10)</f>
        <v>0</v>
      </c>
      <c r="R122" s="128">
        <f>IF($E$36=5,($E$23*$E$24/365)*$C122*$E$36*$F122*Simulation!$G$10,(($E$23*$E$24/365)*$M122*Simulation!$G$10)+($E$23*$E$24/365)*$N122*$F122*Simulation!$G$10)</f>
        <v>0</v>
      </c>
    </row>
    <row r="123" spans="1:18" s="2" customFormat="1" ht="15" x14ac:dyDescent="0.25">
      <c r="A123" s="127">
        <v>45748</v>
      </c>
      <c r="B123" s="38">
        <v>45748</v>
      </c>
      <c r="C123" s="39">
        <f>MAX(0,MIN(EOMONTH(B123,0),Simulation!$G$12)-MAX(B123,Simulation!$G$11)+1)</f>
        <v>0</v>
      </c>
      <c r="D123" s="197"/>
      <c r="E123" s="202"/>
      <c r="F123" s="39">
        <f>Parameters!$B$24</f>
        <v>1.3774999999999999</v>
      </c>
      <c r="G123" s="40">
        <f t="shared" si="3"/>
        <v>30</v>
      </c>
      <c r="H123" s="199"/>
      <c r="I123" s="41">
        <f>IF(Simulation!$G$12&gt;=$B$136,IF(AND(YEAR(Simulation!$G$11)=YEAR(A123),MONTH(A123)=MONTH(Simulation!$G$11)),1,0),0)</f>
        <v>0</v>
      </c>
      <c r="J123" s="42">
        <f t="shared" si="12"/>
        <v>0</v>
      </c>
      <c r="K123" s="43" t="str">
        <f t="shared" si="13"/>
        <v>ok</v>
      </c>
      <c r="L123" s="43">
        <f>IF(J123=1,IF(J149=0,IF(DAY(Simulation!$G$11)=1,0,DAY(Simulation!$G$11)-1),0),0)</f>
        <v>0</v>
      </c>
      <c r="M123" s="40">
        <f>IF(AND(J122=1,J123=1,J161=0,DAY(Simulation!$G$11)=1),0,IF(J123=1,IF(L123&lt;&gt;0,L123,C123),0))</f>
        <v>0</v>
      </c>
      <c r="N123" s="44">
        <f t="shared" si="14"/>
        <v>0</v>
      </c>
      <c r="O123" s="45">
        <f>IF($E$36=5,(($B$28*$B$12)/365)*$C123*$E$36*$F123*Simulation!$G$10,((($B$28*$B$12)/365)*$M123*Simulation!$G$10)+(($B$28*$B$12)/365)*$N123*$F123*Simulation!$G$10)</f>
        <v>0</v>
      </c>
      <c r="P123" s="46">
        <f>IF($E$36=5,(($B$29*$B$13)/365)*$C123*$E$36*$F123*Simulation!$G$10,((($B$29*$B$13)/365)*$M123*Simulation!$G$10)+(($B$29*$B$13)/365)*$N123*$F123*Simulation!$G$10)</f>
        <v>0</v>
      </c>
      <c r="Q123" s="128">
        <f>IF($E$36=5,($E$22/365)*$C123*$E$36*$F123*Simulation!$G$10,(($E$22/365)*$M123*Simulation!$G$10)+($E$22/365)*$N123*$F123*Simulation!$G$10)</f>
        <v>0</v>
      </c>
      <c r="R123" s="128">
        <f>IF($E$36=5,($E$23*$E$24/365)*$C123*$E$36*$F123*Simulation!$G$10,(($E$23*$E$24/365)*$M123*Simulation!$G$10)+($E$23*$E$24/365)*$N123*$F123*Simulation!$G$10)</f>
        <v>0</v>
      </c>
    </row>
    <row r="124" spans="1:18" s="2" customFormat="1" ht="15" x14ac:dyDescent="0.25">
      <c r="A124" s="127">
        <v>45778</v>
      </c>
      <c r="B124" s="38">
        <v>45778</v>
      </c>
      <c r="C124" s="39">
        <f>MAX(0,MIN(EOMONTH(B124,0),Simulation!$G$12)-MAX(B124,Simulation!$G$11)+1)</f>
        <v>0</v>
      </c>
      <c r="D124" s="197"/>
      <c r="E124" s="202"/>
      <c r="F124" s="39">
        <f>Parameters!$B$25</f>
        <v>0.9425</v>
      </c>
      <c r="G124" s="40">
        <f t="shared" si="3"/>
        <v>31</v>
      </c>
      <c r="H124" s="199"/>
      <c r="I124" s="41">
        <f>IF(Simulation!$G$12&gt;=$B$136,IF(AND(YEAR(Simulation!$G$11)=YEAR(A124),MONTH(A124)=MONTH(Simulation!$G$11)),1,0),0)</f>
        <v>0</v>
      </c>
      <c r="J124" s="42">
        <f t="shared" si="12"/>
        <v>0</v>
      </c>
      <c r="K124" s="43" t="str">
        <f t="shared" si="13"/>
        <v>ok</v>
      </c>
      <c r="L124" s="43">
        <f>IF(J124=1,IF(J150=0,IF(DAY(Simulation!$G$11)=1,0,DAY(Simulation!$G$11)-1),0),0)</f>
        <v>0</v>
      </c>
      <c r="M124" s="40">
        <f>IF(AND(J123=1,J124=1,J162=0,DAY(Simulation!$G$11)=1),0,IF(J124=1,IF(L124&lt;&gt;0,L124,C124),0))</f>
        <v>0</v>
      </c>
      <c r="N124" s="44">
        <f t="shared" si="14"/>
        <v>0</v>
      </c>
      <c r="O124" s="45">
        <f>IF($E$36=5,(($B$28*$B$12)/365)*$C124*$E$36*$F124*Simulation!$G$10,((($B$28*$B$12)/365)*$M124*Simulation!$G$10)+(($B$28*$B$12)/365)*$N124*$F124*Simulation!$G$10)</f>
        <v>0</v>
      </c>
      <c r="P124" s="46">
        <f>IF($E$36=5,(($B$29*$B$13)/365)*$C124*$E$36*$F124*Simulation!$G$10,((($B$29*$B$13)/365)*$M124*Simulation!$G$10)+(($B$29*$B$13)/365)*$N124*$F124*Simulation!$G$10)</f>
        <v>0</v>
      </c>
      <c r="Q124" s="128">
        <f>IF($E$36=5,($E$22/365)*$C124*$E$36*$F124*Simulation!$G$10,(($E$22/365)*$M124*Simulation!$G$10)+($E$22/365)*$N124*$F124*Simulation!$G$10)</f>
        <v>0</v>
      </c>
      <c r="R124" s="128">
        <f>IF($E$36=5,($E$23*$E$24/365)*$C124*$E$36*$F124*Simulation!$G$10,(($E$23*$E$24/365)*$M124*Simulation!$G$10)+($E$23*$E$24/365)*$N124*$F124*Simulation!$G$10)</f>
        <v>0</v>
      </c>
    </row>
    <row r="125" spans="1:18" s="2" customFormat="1" ht="15" x14ac:dyDescent="0.25">
      <c r="A125" s="127">
        <v>45809</v>
      </c>
      <c r="B125" s="38">
        <v>45809</v>
      </c>
      <c r="C125" s="39">
        <f>MAX(0,MIN(EOMONTH(B125,0),Simulation!$G$12)-MAX(B125,Simulation!$G$11)+1)</f>
        <v>0</v>
      </c>
      <c r="D125" s="197"/>
      <c r="E125" s="202"/>
      <c r="F125" s="39">
        <f>Parameters!$B$26</f>
        <v>0.72499999999999998</v>
      </c>
      <c r="G125" s="40">
        <f t="shared" si="3"/>
        <v>30</v>
      </c>
      <c r="H125" s="199"/>
      <c r="I125" s="41">
        <f>IF(Simulation!$G$12&gt;=$B$136,IF(AND(YEAR(Simulation!$G$11)=YEAR(A125),MONTH(A125)=MONTH(Simulation!$G$11)),1,0),0)</f>
        <v>0</v>
      </c>
      <c r="J125" s="42">
        <f t="shared" si="12"/>
        <v>0</v>
      </c>
      <c r="K125" s="43" t="str">
        <f t="shared" si="13"/>
        <v>ok</v>
      </c>
      <c r="L125" s="43">
        <f>IF(J125=1,IF(J151=0,IF(DAY(Simulation!$G$11)=1,0,DAY(Simulation!$G$11)-1),0),0)</f>
        <v>0</v>
      </c>
      <c r="M125" s="40">
        <f>IF(AND(J124=1,J125=1,J163=0,DAY(Simulation!$G$11)=1),0,IF(J125=1,IF(L125&lt;&gt;0,L125,C125),0))</f>
        <v>0</v>
      </c>
      <c r="N125" s="44">
        <f t="shared" si="14"/>
        <v>0</v>
      </c>
      <c r="O125" s="45">
        <f>IF($E$36=5,(($B$28*$B$12)/365)*$C125*$E$36*$F125*Simulation!$G$10,((($B$28*$B$12)/365)*$M125*Simulation!$G$10)+(($B$28*$B$12)/365)*$N125*$F125*Simulation!$G$10)</f>
        <v>0</v>
      </c>
      <c r="P125" s="46">
        <f>IF($E$36=5,(($B$29*$B$13)/365)*$C125*$E$36*$F125*Simulation!$G$10,((($B$29*$B$13)/365)*$M125*Simulation!$G$10)+(($B$29*$B$13)/365)*$N125*$F125*Simulation!$G$10)</f>
        <v>0</v>
      </c>
      <c r="Q125" s="128">
        <f>IF($E$36=5,($E$22/365)*$C125*$E$36*$F125*Simulation!$G$10,(($E$22/365)*$M125*Simulation!$G$10)+($E$22/365)*$N125*$F125*Simulation!$G$10)</f>
        <v>0</v>
      </c>
      <c r="R125" s="128">
        <f>IF($E$36=5,($E$23*$E$24/365)*$C125*$E$36*$F125*Simulation!$G$10,(($E$23*$E$24/365)*$M125*Simulation!$G$10)+($E$23*$E$24/365)*$N125*$F125*Simulation!$G$10)</f>
        <v>0</v>
      </c>
    </row>
    <row r="126" spans="1:18" s="2" customFormat="1" ht="15" x14ac:dyDescent="0.25">
      <c r="A126" s="127">
        <v>45839</v>
      </c>
      <c r="B126" s="38">
        <v>45839</v>
      </c>
      <c r="C126" s="39">
        <f>MAX(0,MIN(EOMONTH(B126,0),Simulation!$G$12)-MAX(B126,Simulation!$G$11)+1)</f>
        <v>0</v>
      </c>
      <c r="D126" s="197"/>
      <c r="E126" s="202"/>
      <c r="F126" s="39">
        <f>Parameters!$B$27</f>
        <v>0.72499999999999998</v>
      </c>
      <c r="G126" s="40">
        <f t="shared" si="3"/>
        <v>31</v>
      </c>
      <c r="H126" s="199"/>
      <c r="I126" s="41">
        <f>IF(Simulation!$G$12&gt;=$B$136,IF(AND(YEAR(Simulation!$G$11)=YEAR(A126),MONTH(A126)=MONTH(Simulation!$G$11)),1,0),0)</f>
        <v>0</v>
      </c>
      <c r="J126" s="42">
        <f t="shared" si="12"/>
        <v>0</v>
      </c>
      <c r="K126" s="43" t="str">
        <f t="shared" si="13"/>
        <v>ok</v>
      </c>
      <c r="L126" s="43">
        <f>IF(J126=1,IF(J152=0,IF(DAY(Simulation!$G$11)=1,0,DAY(Simulation!$G$11)-1),0),0)</f>
        <v>0</v>
      </c>
      <c r="M126" s="40">
        <f>IF(AND(J125=1,J126=1,J164=0,DAY(Simulation!$G$11)=1),0,IF(J126=1,IF(L126&lt;&gt;0,L126,C126),0))</f>
        <v>0</v>
      </c>
      <c r="N126" s="44">
        <f t="shared" si="14"/>
        <v>0</v>
      </c>
      <c r="O126" s="45">
        <f>IF($E$36=5,(($B$28*$B$12)/365)*$C126*$E$36*$F126*Simulation!$G$10,((($B$28*$B$12)/365)*$M126*Simulation!$G$10)+(($B$28*$B$12)/365)*$N126*$F126*Simulation!$G$10)</f>
        <v>0</v>
      </c>
      <c r="P126" s="46">
        <f>IF($E$36=5,(($B$29*$B$13)/365)*$C126*$E$36*$F126*Simulation!$G$10,((($B$29*$B$13)/365)*$M126*Simulation!$G$10)+(($B$29*$B$13)/365)*$N126*$F126*Simulation!$G$10)</f>
        <v>0</v>
      </c>
      <c r="Q126" s="128">
        <f>IF($E$36=5,($E$22/365)*$C126*$E$36*$F126*Simulation!$G$10,(($E$22/365)*$M126*Simulation!$G$10)+($E$22/365)*$N126*$F126*Simulation!$G$10)</f>
        <v>0</v>
      </c>
      <c r="R126" s="128">
        <f>IF($E$36=5,($E$23*$E$24/365)*$C126*$E$36*$F126*Simulation!$G$10,(($E$23*$E$24/365)*$M126*Simulation!$G$10)+($E$23*$E$24/365)*$N126*$F126*Simulation!$G$10)</f>
        <v>0</v>
      </c>
    </row>
    <row r="127" spans="1:18" s="2" customFormat="1" ht="15" x14ac:dyDescent="0.25">
      <c r="A127" s="127">
        <v>45870</v>
      </c>
      <c r="B127" s="38">
        <v>45870</v>
      </c>
      <c r="C127" s="39">
        <f>MAX(0,MIN(EOMONTH(B127,0),Simulation!$G$12)-MAX(B127,Simulation!$G$11)+1)</f>
        <v>0</v>
      </c>
      <c r="D127" s="197"/>
      <c r="E127" s="202"/>
      <c r="F127" s="39">
        <f>Parameters!B40</f>
        <v>0.105</v>
      </c>
      <c r="G127" s="40">
        <f t="shared" si="3"/>
        <v>31</v>
      </c>
      <c r="H127" s="199"/>
      <c r="I127" s="41">
        <f>IF(Simulation!$G$12&gt;=$B$136,IF(AND(YEAR(Simulation!$G$11)=YEAR(A127),MONTH(A127)=MONTH(Simulation!$G$11)),1,0),0)</f>
        <v>0</v>
      </c>
      <c r="J127" s="42">
        <f t="shared" si="12"/>
        <v>0</v>
      </c>
      <c r="K127" s="43" t="str">
        <f t="shared" si="13"/>
        <v>ok</v>
      </c>
      <c r="L127" s="43">
        <f>IF(J127=1,IF(J153=0,IF(DAY(Simulation!$G$11)=1,0,DAY(Simulation!$G$11)-1),0),0)</f>
        <v>0</v>
      </c>
      <c r="M127" s="40">
        <f>IF(AND(J126=1,J127=1,J165=0,DAY(Simulation!$G$11)=1),0,IF(J127=1,IF(L127&lt;&gt;0,L127,C127),0))</f>
        <v>0</v>
      </c>
      <c r="N127" s="44">
        <f t="shared" si="14"/>
        <v>0</v>
      </c>
      <c r="O127" s="45">
        <f>IF($E$36=5,(($B$28*$B$12)/365)*$C127*$E$36*$F127*Simulation!$G$10,((($B$28*$B$12)/365)*$M127*Simulation!$G$10)+(($B$28*$B$12)/365)*$N127*$F127*Simulation!$G$10)</f>
        <v>0</v>
      </c>
      <c r="P127" s="46">
        <f>IF($E$36=5,(($B$29*$B$13)/365)*$C127*$E$36*$F127*Simulation!$G$10,((($B$29*$B$13)/365)*$M127*Simulation!$G$10)+(($B$29*$B$13)/365)*$N127*$F127*Simulation!$G$10)</f>
        <v>0</v>
      </c>
      <c r="Q127" s="128">
        <f>IF($E$36=5,($E$22/365)*$C127*$E$36*$F127*Simulation!$G$10,(($E$22/365)*$M127*Simulation!$G$10)+($E$22/365)*$N127*$F127*Simulation!$G$10)</f>
        <v>0</v>
      </c>
      <c r="R127" s="128">
        <f>IF($E$36=5,($E$23*$E$24/365)*$C127*$E$36*$F127*Simulation!$G$10,(($E$23*$E$24/365)*$M127*Simulation!$G$10)+($E$23*$E$24/365)*$N127*$F127*Simulation!$G$10)</f>
        <v>0</v>
      </c>
    </row>
    <row r="128" spans="1:18" s="2" customFormat="1" ht="15" x14ac:dyDescent="0.25">
      <c r="A128" s="127">
        <v>45901</v>
      </c>
      <c r="B128" s="38">
        <v>45901</v>
      </c>
      <c r="C128" s="39">
        <f>MAX(0,MIN(EOMONTH(B128,0),Simulation!$G$12)-MAX(B128,Simulation!$G$11)+1)</f>
        <v>0</v>
      </c>
      <c r="D128" s="197"/>
      <c r="E128" s="202"/>
      <c r="F128" s="39">
        <f>Parameters!$B$29</f>
        <v>0.9425</v>
      </c>
      <c r="G128" s="40">
        <f t="shared" si="3"/>
        <v>30</v>
      </c>
      <c r="H128" s="199"/>
      <c r="I128" s="41">
        <f>IF(Simulation!$G$12&gt;=$B$136,IF(AND(YEAR(Simulation!$G$11)=YEAR(A128),MONTH(A128)=MONTH(Simulation!$G$11)),1,0),0)</f>
        <v>0</v>
      </c>
      <c r="J128" s="42">
        <f t="shared" si="12"/>
        <v>0</v>
      </c>
      <c r="K128" s="43" t="str">
        <f t="shared" si="13"/>
        <v>ok</v>
      </c>
      <c r="L128" s="43">
        <f>IF(J128=1,IF(J154=0,IF(DAY(Simulation!$G$11)=1,0,DAY(Simulation!$G$11)-1),0),0)</f>
        <v>0</v>
      </c>
      <c r="M128" s="40">
        <f>IF(AND(J127=1,J128=1,J166=0,DAY(Simulation!$G$11)=1),0,IF(J128=1,IF(L128&lt;&gt;0,L128,C128),0))</f>
        <v>0</v>
      </c>
      <c r="N128" s="44">
        <f t="shared" si="14"/>
        <v>0</v>
      </c>
      <c r="O128" s="45">
        <f>IF($E$36=5,(($B$28*$B$12)/365)*$C128*$E$36*$F128*Simulation!$G$10,((($B$28*$B$12)/365)*$M128*Simulation!$G$10)+(($B$28*$B$12)/365)*$N128*$F128*Simulation!$G$10)</f>
        <v>0</v>
      </c>
      <c r="P128" s="46">
        <f>IF($E$36=5,(($B$29*$B$13)/365)*$C128*$E$36*$F128*Simulation!$G$10,((($B$29*$B$13)/365)*$M128*Simulation!$G$10)+(($B$29*$B$13)/365)*$N128*$F128*Simulation!$G$10)</f>
        <v>0</v>
      </c>
      <c r="Q128" s="128">
        <f>IF($E$36=5,($E$22/365)*$C128*$E$36*$F128*Simulation!$G$10,(($E$22/365)*$M128*Simulation!$G$10)+($E$22/365)*$N128*$F128*Simulation!$G$10)</f>
        <v>0</v>
      </c>
      <c r="R128" s="128">
        <f>IF($E$36=5,($E$23*$E$24/365)*$C128*$E$36*$F128*Simulation!$G$10,(($E$23*$E$24/365)*$M128*Simulation!$G$10)+($E$23*$E$24/365)*$N128*$F128*Simulation!$G$10)</f>
        <v>0</v>
      </c>
    </row>
    <row r="129" spans="1:18" s="2" customFormat="1" ht="15" x14ac:dyDescent="0.25">
      <c r="A129" s="127">
        <v>45931</v>
      </c>
      <c r="B129" s="38">
        <v>45931</v>
      </c>
      <c r="C129" s="39">
        <f>MAX(0,MIN(EOMONTH(B129,0),Simulation!$G$12)-MAX(B129,Simulation!$G$11)+1)</f>
        <v>0</v>
      </c>
      <c r="D129" s="197"/>
      <c r="E129" s="202"/>
      <c r="F129" s="39">
        <f>Parameters!$B$30</f>
        <v>1.5225</v>
      </c>
      <c r="G129" s="40">
        <f t="shared" si="3"/>
        <v>31</v>
      </c>
      <c r="H129" s="199"/>
      <c r="I129" s="41">
        <f>IF(Simulation!$G$12&gt;=$B$136,IF(AND(YEAR(Simulation!$G$11)=YEAR(A129),MONTH(A129)=MONTH(Simulation!$G$11)),1,0),0)</f>
        <v>0</v>
      </c>
      <c r="J129" s="42">
        <f t="shared" si="12"/>
        <v>0</v>
      </c>
      <c r="K129" s="43" t="str">
        <f t="shared" si="13"/>
        <v>ok</v>
      </c>
      <c r="L129" s="43">
        <f>IF(J129=1,IF(J155=0,IF(DAY(Simulation!$G$11)=1,0,DAY(Simulation!$G$11)-1),0),0)</f>
        <v>0</v>
      </c>
      <c r="M129" s="40">
        <f>IF(AND(J128=1,J129=1,J167=0,DAY(Simulation!$G$11)=1),0,IF(J129=1,IF(L129&lt;&gt;0,L129,C129),0))</f>
        <v>0</v>
      </c>
      <c r="N129" s="44">
        <f t="shared" si="14"/>
        <v>0</v>
      </c>
      <c r="O129" s="45">
        <f>IF($E$36=5,(($B$28*$B$12)/365)*$C129*$E$36*$F129*Simulation!$G$10,((($B$28*$B$12)/365)*$M129*Simulation!$G$10)+(($B$28*$B$12)/365)*$N129*$F129*Simulation!$G$10)</f>
        <v>0</v>
      </c>
      <c r="P129" s="46">
        <f>IF($E$36=5,(($B$29*$B$13)/365)*$C129*$E$36*$F129*Simulation!$G$10,((($B$29*$B$13)/365)*$M129*Simulation!$G$10)+(($B$29*$B$13)/365)*$N129*$F129*Simulation!$G$10)</f>
        <v>0</v>
      </c>
      <c r="Q129" s="128">
        <f>IF($E$36=5,($E$22/365)*$C129*$E$36*$F129*Simulation!$G$10,(($E$22/365)*$M129*Simulation!$G$10)+($E$22/365)*$N129*$F129*Simulation!$G$10)</f>
        <v>0</v>
      </c>
      <c r="R129" s="128">
        <f>IF($E$36=5,($E$23*$E$24/365)*$C129*$E$36*$F129*Simulation!$G$10,(($E$23*$E$24/365)*$M129*Simulation!$G$10)+($E$23*$E$24/365)*$N129*$F129*Simulation!$G$10)</f>
        <v>0</v>
      </c>
    </row>
    <row r="130" spans="1:18" s="2" customFormat="1" ht="15" x14ac:dyDescent="0.25">
      <c r="A130" s="127">
        <v>45962</v>
      </c>
      <c r="B130" s="38">
        <v>45962</v>
      </c>
      <c r="C130" s="39">
        <f>MAX(0,MIN(EOMONTH(B130,0),Simulation!$G$12)-MAX(B130,Simulation!$G$11)+1)</f>
        <v>0</v>
      </c>
      <c r="D130" s="197"/>
      <c r="E130" s="202"/>
      <c r="F130" s="39">
        <f>Parameters!$B$31</f>
        <v>2.0299999999999998</v>
      </c>
      <c r="G130" s="40">
        <f t="shared" si="3"/>
        <v>30</v>
      </c>
      <c r="H130" s="199"/>
      <c r="I130" s="41">
        <f>IF(Simulation!$G$12&gt;=$B$136,IF(AND(YEAR(Simulation!$G$11)=YEAR(A130),MONTH(A130)=MONTH(Simulation!$G$11)),1,0),0)</f>
        <v>0</v>
      </c>
      <c r="J130" s="42">
        <f t="shared" si="12"/>
        <v>0</v>
      </c>
      <c r="K130" s="43" t="str">
        <f t="shared" si="13"/>
        <v>ok</v>
      </c>
      <c r="L130" s="43">
        <f>IF(J130=1,IF(J156=0,IF(DAY(Simulation!$G$11)=1,0,DAY(Simulation!$G$11)-1),0),0)</f>
        <v>0</v>
      </c>
      <c r="M130" s="40">
        <f>IF(AND(J129=1,J130=1,J168=0,DAY(Simulation!$G$11)=1),0,IF(J130=1,IF(L130&lt;&gt;0,L130,C130),0))</f>
        <v>0</v>
      </c>
      <c r="N130" s="44">
        <f t="shared" si="14"/>
        <v>0</v>
      </c>
      <c r="O130" s="45">
        <f>IF($E$36=5,(($B$28*$B$12)/365)*$C130*$E$36*$F130*Simulation!$G$10,((($B$28*$B$12)/365)*$M130*Simulation!$G$10)+(($B$28*$B$12)/365)*$N130*$F130*Simulation!$G$10)</f>
        <v>0</v>
      </c>
      <c r="P130" s="46">
        <f>IF($E$36=5,(($B$29*$B$13)/365)*$C130*$E$36*$F130*Simulation!$G$10,((($B$29*$B$13)/365)*$M130*Simulation!$G$10)+(($B$29*$B$13)/365)*$N130*$F130*Simulation!$G$10)</f>
        <v>0</v>
      </c>
      <c r="Q130" s="128">
        <f>IF($E$36=5,($E$22/365)*$C130*$E$36*$F130*Simulation!$G$10,(($E$22/365)*$M130*Simulation!$G$10)+($E$22/365)*$N130*$F130*Simulation!$G$10)</f>
        <v>0</v>
      </c>
      <c r="R130" s="128">
        <f>IF($E$36=5,($E$23*$E$24/365)*$C130*$E$36*$F130*Simulation!$G$10,(($E$23*$E$24/365)*$M130*Simulation!$G$10)+($E$23*$E$24/365)*$N130*$F130*Simulation!$G$10)</f>
        <v>0</v>
      </c>
    </row>
    <row r="131" spans="1:18" s="2" customFormat="1" ht="15" x14ac:dyDescent="0.25">
      <c r="A131" s="127">
        <v>45992</v>
      </c>
      <c r="B131" s="38">
        <v>45992</v>
      </c>
      <c r="C131" s="39">
        <f>MAX(0,MIN(EOMONTH(B131,0),Simulation!$G$12)-MAX(B131,Simulation!$G$11)+1)</f>
        <v>0</v>
      </c>
      <c r="D131" s="197"/>
      <c r="E131" s="202"/>
      <c r="F131" s="39">
        <f>Parameters!$B$32</f>
        <v>2.3199999999999998</v>
      </c>
      <c r="G131" s="40">
        <f t="shared" si="3"/>
        <v>31</v>
      </c>
      <c r="H131" s="199"/>
      <c r="I131" s="41">
        <f>IF(Simulation!$G$12&gt;=$B$136,IF(AND(YEAR(Simulation!$G$11)=YEAR(A131),MONTH(A131)=MONTH(Simulation!$G$11)),1,0),0)</f>
        <v>0</v>
      </c>
      <c r="J131" s="42">
        <f t="shared" si="12"/>
        <v>0</v>
      </c>
      <c r="K131" s="43" t="str">
        <f t="shared" si="13"/>
        <v>ok</v>
      </c>
      <c r="L131" s="43">
        <f>IF(J131=1,IF(J157=0,IF(DAY(Simulation!$G$11)=1,0,DAY(Simulation!$G$11)-1),0),0)</f>
        <v>0</v>
      </c>
      <c r="M131" s="40">
        <f>IF(AND(J130=1,J131=1,J169=0,DAY(Simulation!$G$11)=1),0,IF(J131=1,IF(L131&lt;&gt;0,L131,C131),0))</f>
        <v>0</v>
      </c>
      <c r="N131" s="44">
        <f t="shared" si="14"/>
        <v>0</v>
      </c>
      <c r="O131" s="45">
        <f>IF($E$36=5,(($B$28*$B$12)/365)*$C131*$E$36*$F131*Simulation!$G$10,((($B$28*$B$12)/365)*$M131*Simulation!$G$10)+(($B$28*$B$12)/365)*$N131*$F131*Simulation!$G$10)</f>
        <v>0</v>
      </c>
      <c r="P131" s="46">
        <f>IF($E$36=5,(($B$29*$B$13)/365)*$C131*$E$36*$F131*Simulation!$G$10,((($B$29*$B$13)/365)*$M131*Simulation!$G$10)+(($B$29*$B$13)/365)*$N131*$F131*Simulation!$G$10)</f>
        <v>0</v>
      </c>
      <c r="Q131" s="128">
        <f>IF($E$36=5,($E$22/365)*$C131*$E$36*$F131*Simulation!$G$10,(($E$22/365)*$M131*Simulation!$G$10)+($E$22/365)*$N131*$F131*Simulation!$G$10)</f>
        <v>0</v>
      </c>
      <c r="R131" s="128">
        <f>IF($E$36=5,($E$23*$E$24/365)*$C131*$E$36*$F131*Simulation!$G$10,(($E$23*$E$24/365)*$M131*Simulation!$G$10)+($E$23*$E$24/365)*$N131*$F131*Simulation!$G$10)</f>
        <v>0</v>
      </c>
    </row>
    <row r="132" spans="1:18" s="2" customFormat="1" ht="15" x14ac:dyDescent="0.25">
      <c r="A132" s="47"/>
      <c r="B132" s="48"/>
      <c r="C132" s="49"/>
      <c r="D132" s="159"/>
      <c r="E132" s="160"/>
      <c r="F132" s="50"/>
      <c r="G132" s="51"/>
      <c r="H132" s="52"/>
      <c r="I132" s="35"/>
      <c r="J132" s="53"/>
      <c r="K132" s="54"/>
      <c r="L132" s="54"/>
      <c r="M132" s="51"/>
      <c r="N132" s="55"/>
      <c r="O132" s="56"/>
      <c r="P132" s="57"/>
    </row>
    <row r="133" spans="1:18" s="2" customFormat="1" ht="15" x14ac:dyDescent="0.25">
      <c r="A133" s="47"/>
      <c r="B133" s="48"/>
      <c r="C133" s="49"/>
      <c r="D133" s="159"/>
      <c r="E133" s="160"/>
      <c r="F133" s="50"/>
      <c r="G133" s="51"/>
      <c r="H133" s="52"/>
      <c r="I133" s="35"/>
      <c r="J133" s="53"/>
      <c r="K133" s="54"/>
      <c r="L133" s="54"/>
      <c r="M133" s="51"/>
      <c r="N133" s="55"/>
      <c r="O133" s="56"/>
      <c r="P133" s="57"/>
    </row>
    <row r="134" spans="1:18" s="2" customFormat="1" ht="15" x14ac:dyDescent="0.25">
      <c r="A134" s="16" t="s">
        <v>894</v>
      </c>
      <c r="B134" s="9">
        <f>MONTH(Simulation!G11)</f>
        <v>2</v>
      </c>
      <c r="C134" s="3"/>
      <c r="D134" s="3"/>
      <c r="J134" s="58"/>
      <c r="K134" s="59"/>
      <c r="L134" s="59"/>
      <c r="M134" s="59"/>
      <c r="N134" s="59"/>
      <c r="O134" s="59"/>
    </row>
    <row r="135" spans="1:18" s="2" customFormat="1" ht="15" x14ac:dyDescent="0.25">
      <c r="A135" s="16" t="s">
        <v>937</v>
      </c>
      <c r="B135" s="9">
        <f>DATE(YEAR(Simulation!G11),12,31)-DATE(YEAR(Simulation!G11),1,1)+1</f>
        <v>365</v>
      </c>
      <c r="C135" s="3"/>
      <c r="D135" s="3"/>
      <c r="J135" s="58"/>
      <c r="K135" s="59"/>
      <c r="L135" s="59"/>
      <c r="M135" s="59"/>
      <c r="N135" s="59"/>
      <c r="O135" s="59"/>
    </row>
    <row r="136" spans="1:18" s="2" customFormat="1" ht="15" x14ac:dyDescent="0.25">
      <c r="A136" s="16" t="s">
        <v>943</v>
      </c>
      <c r="B136" s="60">
        <f>DATE(YEAR(Simulation!$G$11)+1,MONTH(Simulation!$G$11),DAY(Simulation!$G$11)-1)</f>
        <v>46053</v>
      </c>
      <c r="C136" s="3"/>
      <c r="D136" s="3"/>
      <c r="J136" s="58"/>
      <c r="K136" s="59"/>
      <c r="L136" s="59"/>
      <c r="M136" s="59"/>
      <c r="N136" s="59"/>
      <c r="O136" s="59"/>
    </row>
    <row r="137" spans="1:18" s="2" customFormat="1" ht="15" x14ac:dyDescent="0.25">
      <c r="A137" s="16" t="s">
        <v>945</v>
      </c>
      <c r="B137" s="60">
        <f>DATE(YEAR(Simulation!$G$11)+2,MONTH(Simulation!$G$11),DAY(Simulation!$G$11)-1)</f>
        <v>46418</v>
      </c>
      <c r="C137" s="3"/>
      <c r="D137" s="3"/>
      <c r="J137" s="58"/>
      <c r="K137" s="59"/>
      <c r="L137" s="59"/>
      <c r="M137" s="59"/>
      <c r="N137" s="59"/>
      <c r="O137" s="59"/>
    </row>
    <row r="138" spans="1:18" s="2" customFormat="1" ht="15" x14ac:dyDescent="0.25">
      <c r="A138" s="16" t="s">
        <v>946</v>
      </c>
      <c r="B138" s="60">
        <f>DATE(YEAR(Simulation!$G$11)+3,MONTH(Simulation!$G$11),DAY(Simulation!$G$11)-1)</f>
        <v>46783</v>
      </c>
      <c r="C138" s="3"/>
      <c r="D138" s="3"/>
      <c r="J138" s="58"/>
      <c r="K138" s="59"/>
      <c r="L138" s="59"/>
      <c r="M138" s="59"/>
      <c r="N138" s="59"/>
      <c r="O138" s="59"/>
    </row>
    <row r="139" spans="1:18" s="2" customFormat="1" ht="15" x14ac:dyDescent="0.25">
      <c r="A139" s="16" t="s">
        <v>944</v>
      </c>
      <c r="B139" s="60">
        <f>DATE(YEAR(Simulation!$G$11)+4,MONTH(Simulation!$G$11),DAY(Simulation!$G$11)-1)</f>
        <v>47149</v>
      </c>
      <c r="C139" s="3"/>
      <c r="D139" s="3"/>
      <c r="J139" s="58"/>
      <c r="K139" s="59"/>
      <c r="L139" s="59"/>
      <c r="M139" s="59"/>
      <c r="N139" s="59"/>
      <c r="O139" s="59"/>
    </row>
    <row r="140" spans="1:18" s="2" customFormat="1" ht="15" x14ac:dyDescent="0.25">
      <c r="A140" s="16" t="s">
        <v>893</v>
      </c>
      <c r="B140" s="20">
        <f>Simulation!G11-DATE(YEAR(Simulation!G11),1,0)</f>
        <v>32</v>
      </c>
      <c r="C140" s="3"/>
      <c r="D140" s="3"/>
      <c r="N140" s="3"/>
      <c r="O140" s="3"/>
    </row>
    <row r="141" spans="1:18" s="2" customFormat="1" ht="15" x14ac:dyDescent="0.25">
      <c r="A141" s="16" t="s">
        <v>892</v>
      </c>
      <c r="B141" s="91">
        <f>Simulation!G12-DATE(YEAR(Simulation!G12),1,0)</f>
        <v>46</v>
      </c>
      <c r="C141" s="3"/>
      <c r="D141" s="3"/>
      <c r="N141" s="3"/>
      <c r="O141" s="3"/>
    </row>
    <row r="142" spans="1:18" s="2" customFormat="1" ht="15" x14ac:dyDescent="0.25">
      <c r="A142" s="16" t="s">
        <v>891</v>
      </c>
      <c r="B142" s="9">
        <f>DAY(Simulation!G11)</f>
        <v>1</v>
      </c>
      <c r="C142" s="3"/>
      <c r="D142" s="3"/>
      <c r="N142" s="3"/>
      <c r="O142" s="3"/>
    </row>
    <row r="143" spans="1:18" s="2" customFormat="1" ht="15" x14ac:dyDescent="0.25">
      <c r="A143" s="16" t="s">
        <v>890</v>
      </c>
      <c r="B143" s="9">
        <f>DAY(Simulation!G12)</f>
        <v>15</v>
      </c>
      <c r="C143" s="3"/>
      <c r="D143" s="3"/>
      <c r="N143" s="3"/>
      <c r="O143" s="3"/>
    </row>
    <row r="144" spans="1:18" s="2" customFormat="1" ht="15" x14ac:dyDescent="0.25">
      <c r="A144" s="19"/>
      <c r="B144" s="21"/>
      <c r="C144" s="61"/>
      <c r="D144" s="61"/>
      <c r="E144" s="62"/>
      <c r="N144" s="3"/>
      <c r="O144" s="3"/>
    </row>
    <row r="145" spans="1:15" s="2" customFormat="1" ht="15" x14ac:dyDescent="0.25">
      <c r="A145" s="23" t="s">
        <v>889</v>
      </c>
      <c r="B145" s="21"/>
      <c r="C145" s="61"/>
      <c r="D145" s="61"/>
      <c r="E145" s="62"/>
      <c r="N145" s="3"/>
      <c r="O145" s="3"/>
    </row>
    <row r="146" spans="1:15" s="2" customFormat="1" ht="15" x14ac:dyDescent="0.25">
      <c r="A146" s="3" t="s">
        <v>888</v>
      </c>
      <c r="B146" s="21"/>
      <c r="C146" s="3"/>
      <c r="D146" s="3"/>
      <c r="N146" s="3"/>
      <c r="O146" s="3"/>
    </row>
    <row r="147" spans="1:15" s="2" customFormat="1" ht="15" x14ac:dyDescent="0.25">
      <c r="A147" s="3" t="s">
        <v>885</v>
      </c>
      <c r="B147" s="21"/>
      <c r="C147" s="3"/>
      <c r="D147" s="3"/>
      <c r="N147" s="3"/>
      <c r="O147" s="3"/>
    </row>
    <row r="148" spans="1:15" s="2" customFormat="1" ht="15" x14ac:dyDescent="0.25">
      <c r="A148" s="3" t="s">
        <v>887</v>
      </c>
      <c r="B148" s="21"/>
      <c r="C148" s="3"/>
      <c r="D148" s="3"/>
      <c r="N148" s="3"/>
      <c r="O148" s="3"/>
    </row>
    <row r="149" spans="1:15" s="2" customFormat="1" ht="15" x14ac:dyDescent="0.25">
      <c r="A149" s="3" t="s">
        <v>886</v>
      </c>
      <c r="B149" s="21"/>
      <c r="C149" s="3"/>
      <c r="D149" s="3"/>
      <c r="N149" s="3"/>
      <c r="O149" s="3"/>
    </row>
  </sheetData>
  <sheetProtection selectLockedCells="1" selectUnlockedCells="1"/>
  <mergeCells count="9">
    <mergeCell ref="D36:D131"/>
    <mergeCell ref="E36:E131"/>
    <mergeCell ref="H36:H131"/>
    <mergeCell ref="A10:C10"/>
    <mergeCell ref="A20:B20"/>
    <mergeCell ref="D20:E20"/>
    <mergeCell ref="A3:B3"/>
    <mergeCell ref="D34:E34"/>
    <mergeCell ref="A17:B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topLeftCell="A5" zoomScale="110" zoomScaleNormal="110" workbookViewId="0">
      <selection activeCell="F27" sqref="F27:F29"/>
    </sheetView>
  </sheetViews>
  <sheetFormatPr defaultColWidth="9.140625" defaultRowHeight="12.75" x14ac:dyDescent="0.2"/>
  <cols>
    <col min="1" max="1" width="28.28515625" style="63" customWidth="1"/>
    <col min="2" max="2" width="6.42578125" style="63" bestFit="1" customWidth="1"/>
    <col min="3" max="3" width="12.42578125" style="63" bestFit="1" customWidth="1"/>
    <col min="4" max="4" width="17.42578125" style="63" bestFit="1" customWidth="1"/>
    <col min="5" max="5" width="15.140625" style="63" bestFit="1" customWidth="1"/>
    <col min="6" max="6" width="9.140625" style="63"/>
    <col min="7" max="7" width="15.42578125" style="63" customWidth="1"/>
    <col min="8" max="16384" width="9.140625" style="63"/>
  </cols>
  <sheetData>
    <row r="1" spans="1:17" s="1" customFormat="1" ht="15" x14ac:dyDescent="0.25">
      <c r="A1" s="1" t="s">
        <v>928</v>
      </c>
    </row>
    <row r="2" spans="1:17" s="2" customFormat="1" ht="15" x14ac:dyDescent="0.25">
      <c r="C2" s="3"/>
      <c r="D2" s="168" t="s">
        <v>1615</v>
      </c>
      <c r="G2" s="4"/>
      <c r="H2" s="4"/>
      <c r="N2" s="3"/>
      <c r="O2" s="3"/>
      <c r="Q2" s="3"/>
    </row>
    <row r="3" spans="1:17" s="2" customFormat="1" ht="15" x14ac:dyDescent="0.25">
      <c r="A3" s="88" t="s">
        <v>979</v>
      </c>
      <c r="B3" s="87"/>
      <c r="C3" s="3"/>
      <c r="D3" s="3"/>
      <c r="G3" s="62"/>
      <c r="H3" s="62"/>
      <c r="N3" s="3"/>
      <c r="O3" s="3"/>
      <c r="Q3" s="3"/>
    </row>
    <row r="4" spans="1:17" s="2" customFormat="1" ht="15" x14ac:dyDescent="0.25">
      <c r="A4" s="88" t="s">
        <v>980</v>
      </c>
      <c r="C4" s="3"/>
      <c r="D4" s="3"/>
      <c r="G4" s="62"/>
      <c r="H4" s="62"/>
      <c r="N4" s="3"/>
      <c r="O4" s="3"/>
      <c r="Q4" s="3"/>
    </row>
    <row r="5" spans="1:17" s="2" customFormat="1" ht="15" x14ac:dyDescent="0.25">
      <c r="C5" s="3"/>
      <c r="D5" s="3"/>
      <c r="G5" s="4"/>
      <c r="H5" s="4"/>
      <c r="N5" s="3"/>
      <c r="O5" s="3"/>
      <c r="Q5" s="3"/>
    </row>
    <row r="6" spans="1:17" s="2" customFormat="1" ht="15" x14ac:dyDescent="0.25">
      <c r="A6" s="9"/>
      <c r="B6" s="188" t="s">
        <v>927</v>
      </c>
      <c r="C6" s="188"/>
      <c r="D6" s="188"/>
      <c r="E6" s="188"/>
      <c r="G6" s="4"/>
      <c r="H6" s="4"/>
      <c r="N6" s="3"/>
      <c r="O6" s="3"/>
      <c r="Q6" s="3"/>
    </row>
    <row r="7" spans="1:17" s="2" customFormat="1" ht="15" x14ac:dyDescent="0.25">
      <c r="A7" s="9"/>
      <c r="B7" s="16" t="s">
        <v>2</v>
      </c>
      <c r="C7" s="8" t="s">
        <v>0</v>
      </c>
      <c r="D7" s="8"/>
      <c r="E7" s="16" t="s">
        <v>1</v>
      </c>
      <c r="G7" s="4"/>
      <c r="H7" s="4"/>
      <c r="N7" s="3"/>
      <c r="O7" s="3"/>
      <c r="Q7" s="3"/>
    </row>
    <row r="8" spans="1:17" s="2" customFormat="1" ht="15" x14ac:dyDescent="0.25">
      <c r="A8" s="16" t="s">
        <v>924</v>
      </c>
      <c r="B8" s="89">
        <v>1.117</v>
      </c>
      <c r="C8" s="89">
        <v>0.89400000000000002</v>
      </c>
      <c r="D8" s="64"/>
      <c r="E8" s="9" t="s">
        <v>915</v>
      </c>
      <c r="G8" s="4"/>
      <c r="H8" s="4"/>
      <c r="N8" s="3"/>
      <c r="O8" s="3"/>
      <c r="Q8" s="3"/>
    </row>
    <row r="9" spans="1:17" s="2" customFormat="1" ht="15" x14ac:dyDescent="0.25">
      <c r="A9" s="8" t="s">
        <v>1023</v>
      </c>
      <c r="B9" s="89">
        <v>0.65200000000000002</v>
      </c>
      <c r="C9" s="89">
        <v>0.52200000000000002</v>
      </c>
      <c r="D9" s="64"/>
      <c r="E9" s="9"/>
      <c r="G9" s="62"/>
      <c r="H9" s="62"/>
      <c r="N9" s="3"/>
      <c r="O9" s="3"/>
      <c r="Q9" s="3"/>
    </row>
    <row r="10" spans="1:17" s="2" customFormat="1" ht="15" x14ac:dyDescent="0.25">
      <c r="A10" s="16" t="s">
        <v>923</v>
      </c>
      <c r="B10" s="204">
        <v>9.2100000000000001E-2</v>
      </c>
      <c r="C10" s="204"/>
      <c r="D10" s="65"/>
      <c r="E10" s="20" t="s">
        <v>914</v>
      </c>
      <c r="G10" s="4"/>
      <c r="H10" s="4"/>
      <c r="I10" s="5"/>
      <c r="N10" s="3"/>
      <c r="O10" s="3"/>
      <c r="Q10" s="3"/>
    </row>
    <row r="11" spans="1:17" s="2" customFormat="1" ht="15" x14ac:dyDescent="0.25">
      <c r="C11" s="3"/>
      <c r="D11" s="3"/>
      <c r="G11" s="4"/>
      <c r="H11" s="4"/>
      <c r="I11" s="5"/>
      <c r="N11" s="3"/>
      <c r="O11" s="3"/>
      <c r="Q11" s="3"/>
    </row>
    <row r="12" spans="1:17" s="2" customFormat="1" ht="15" x14ac:dyDescent="0.25">
      <c r="A12" s="9"/>
      <c r="B12" s="188" t="s">
        <v>926</v>
      </c>
      <c r="C12" s="188"/>
      <c r="D12" s="188"/>
      <c r="E12" s="188"/>
      <c r="G12" s="66"/>
      <c r="H12" s="66"/>
      <c r="I12" s="5"/>
      <c r="N12" s="3"/>
      <c r="O12" s="3"/>
      <c r="Q12" s="3"/>
    </row>
    <row r="13" spans="1:17" s="2" customFormat="1" ht="15" x14ac:dyDescent="0.25">
      <c r="A13" s="9"/>
      <c r="B13" s="16" t="s">
        <v>925</v>
      </c>
      <c r="C13" s="8" t="s">
        <v>0</v>
      </c>
      <c r="D13" s="8"/>
      <c r="E13" s="16" t="s">
        <v>1</v>
      </c>
      <c r="G13" s="66"/>
      <c r="H13" s="66"/>
      <c r="I13" s="5"/>
      <c r="N13" s="3"/>
      <c r="O13" s="3"/>
      <c r="Q13" s="3"/>
    </row>
    <row r="14" spans="1:17" s="2" customFormat="1" ht="15" x14ac:dyDescent="0.25">
      <c r="A14" s="16" t="s">
        <v>924</v>
      </c>
      <c r="B14" s="89">
        <v>1.24</v>
      </c>
      <c r="C14" s="89">
        <v>0.99199999999999999</v>
      </c>
      <c r="D14" s="64"/>
      <c r="E14" s="9" t="s">
        <v>915</v>
      </c>
      <c r="G14" s="66"/>
      <c r="H14" s="66"/>
      <c r="I14" s="5"/>
      <c r="N14" s="3"/>
      <c r="O14" s="3"/>
      <c r="Q14" s="3"/>
    </row>
    <row r="15" spans="1:17" s="2" customFormat="1" ht="15" x14ac:dyDescent="0.25">
      <c r="A15" s="8" t="s">
        <v>1023</v>
      </c>
      <c r="B15" s="89">
        <v>0.72299999999999998</v>
      </c>
      <c r="C15" s="89">
        <v>0.57799999999999996</v>
      </c>
      <c r="D15" s="64"/>
      <c r="E15" s="9"/>
      <c r="G15" s="66"/>
      <c r="H15" s="66"/>
      <c r="I15" s="5"/>
      <c r="N15" s="3"/>
      <c r="O15" s="3"/>
      <c r="Q15" s="3"/>
    </row>
    <row r="16" spans="1:17" s="2" customFormat="1" ht="15" x14ac:dyDescent="0.25">
      <c r="A16" s="16" t="s">
        <v>923</v>
      </c>
      <c r="B16" s="204">
        <v>0.1023</v>
      </c>
      <c r="C16" s="204"/>
      <c r="D16" s="65"/>
      <c r="E16" s="20" t="s">
        <v>914</v>
      </c>
      <c r="G16" s="66"/>
      <c r="H16" s="66"/>
      <c r="I16" s="5"/>
      <c r="N16" s="3"/>
      <c r="O16" s="3"/>
      <c r="Q16" s="3"/>
    </row>
    <row r="17" spans="1:17" s="2" customFormat="1" ht="15" x14ac:dyDescent="0.25">
      <c r="C17" s="3"/>
      <c r="D17" s="3"/>
      <c r="G17" s="4"/>
      <c r="H17" s="4"/>
      <c r="I17" s="5"/>
      <c r="N17" s="3"/>
      <c r="O17" s="3"/>
      <c r="Q17" s="3"/>
    </row>
    <row r="18" spans="1:17" s="2" customFormat="1" ht="15" x14ac:dyDescent="0.25">
      <c r="A18" s="16" t="s">
        <v>922</v>
      </c>
      <c r="B18" s="67">
        <v>0.08</v>
      </c>
      <c r="C18" s="2" t="s">
        <v>921</v>
      </c>
      <c r="G18" s="4"/>
      <c r="H18" s="4"/>
      <c r="I18" s="5"/>
      <c r="N18" s="3"/>
      <c r="O18" s="3"/>
      <c r="Q18" s="3"/>
    </row>
    <row r="19" spans="1:17" s="2" customFormat="1" ht="15" x14ac:dyDescent="0.25">
      <c r="C19" s="3"/>
      <c r="D19" s="3"/>
      <c r="G19" s="4"/>
      <c r="H19" s="4"/>
      <c r="I19" s="5"/>
      <c r="N19" s="3"/>
      <c r="O19" s="3"/>
      <c r="Q19" s="3"/>
    </row>
    <row r="20" spans="1:17" s="2" customFormat="1" ht="15" x14ac:dyDescent="0.25">
      <c r="A20" s="205" t="s">
        <v>936</v>
      </c>
      <c r="B20" s="206"/>
      <c r="C20" s="3"/>
      <c r="D20" s="3"/>
      <c r="E20" s="106" t="s">
        <v>1019</v>
      </c>
      <c r="F20" s="106" t="s">
        <v>1020</v>
      </c>
      <c r="G20" s="107" t="s">
        <v>1021</v>
      </c>
      <c r="H20" s="4"/>
      <c r="I20" s="5"/>
      <c r="N20" s="3"/>
      <c r="O20" s="3"/>
      <c r="Q20" s="3"/>
    </row>
    <row r="21" spans="1:17" s="2" customFormat="1" ht="15" x14ac:dyDescent="0.25">
      <c r="A21" s="16" t="s">
        <v>906</v>
      </c>
      <c r="B21" s="123">
        <v>2.5375000000000001</v>
      </c>
      <c r="C21" s="207" t="s">
        <v>1008</v>
      </c>
      <c r="D21" s="3">
        <v>1.75</v>
      </c>
      <c r="E21" s="105">
        <f>D21*1.45</f>
        <v>2.5375000000000001</v>
      </c>
      <c r="F21" s="192">
        <f>1.53*1.45</f>
        <v>2.2185000000000001</v>
      </c>
      <c r="G21" s="209">
        <f>(AVERAGE(E21:E23)-F21)/F21</f>
        <v>2.178649237472627E-3</v>
      </c>
      <c r="H21" s="4"/>
      <c r="I21" s="5"/>
      <c r="N21" s="3"/>
      <c r="O21" s="3"/>
      <c r="Q21" s="3"/>
    </row>
    <row r="22" spans="1:17" s="2" customFormat="1" ht="15" x14ac:dyDescent="0.25">
      <c r="A22" s="16" t="s">
        <v>905</v>
      </c>
      <c r="B22" s="123">
        <v>2.2475000000000001</v>
      </c>
      <c r="C22" s="208"/>
      <c r="D22" s="97">
        <v>1.55</v>
      </c>
      <c r="E22" s="105">
        <f t="shared" ref="E22:E32" si="0">D22*1.45</f>
        <v>2.2475000000000001</v>
      </c>
      <c r="F22" s="192"/>
      <c r="G22" s="209"/>
      <c r="H22" s="4"/>
      <c r="I22" s="5"/>
      <c r="N22" s="3"/>
      <c r="O22" s="3"/>
      <c r="Q22" s="3"/>
    </row>
    <row r="23" spans="1:17" s="2" customFormat="1" ht="15" x14ac:dyDescent="0.25">
      <c r="A23" s="16" t="s">
        <v>904</v>
      </c>
      <c r="B23" s="123">
        <v>1.885</v>
      </c>
      <c r="C23" s="208"/>
      <c r="D23" s="3">
        <v>1.3</v>
      </c>
      <c r="E23" s="105">
        <f t="shared" si="0"/>
        <v>1.885</v>
      </c>
      <c r="F23" s="192"/>
      <c r="G23" s="209"/>
      <c r="H23" s="4"/>
      <c r="I23" s="5"/>
      <c r="N23" s="3"/>
      <c r="O23" s="3"/>
      <c r="Q23" s="3"/>
    </row>
    <row r="24" spans="1:17" s="2" customFormat="1" ht="15" x14ac:dyDescent="0.25">
      <c r="A24" s="16" t="s">
        <v>903</v>
      </c>
      <c r="B24" s="123">
        <v>1.3774999999999999</v>
      </c>
      <c r="C24" s="208"/>
      <c r="D24" s="3">
        <v>0.95</v>
      </c>
      <c r="E24" s="105">
        <f t="shared" si="0"/>
        <v>1.3774999999999999</v>
      </c>
      <c r="F24" s="192">
        <f>0.7*1.45</f>
        <v>1.0149999999999999</v>
      </c>
      <c r="G24" s="209">
        <f>(AVERAGE(E24:E26)-F24)/F24</f>
        <v>0</v>
      </c>
      <c r="H24" s="4"/>
      <c r="I24" s="5"/>
      <c r="N24" s="3"/>
      <c r="O24" s="3"/>
      <c r="Q24" s="3"/>
    </row>
    <row r="25" spans="1:17" s="2" customFormat="1" ht="15" x14ac:dyDescent="0.25">
      <c r="A25" s="16" t="s">
        <v>902</v>
      </c>
      <c r="B25" s="123">
        <v>0.9425</v>
      </c>
      <c r="C25" s="208"/>
      <c r="D25" s="3">
        <v>0.65</v>
      </c>
      <c r="E25" s="105">
        <f t="shared" si="0"/>
        <v>0.9425</v>
      </c>
      <c r="F25" s="192"/>
      <c r="G25" s="209"/>
      <c r="H25" s="4"/>
      <c r="I25" s="5"/>
      <c r="N25" s="3"/>
      <c r="O25" s="3"/>
      <c r="Q25" s="3"/>
    </row>
    <row r="26" spans="1:17" s="2" customFormat="1" ht="15" x14ac:dyDescent="0.25">
      <c r="A26" s="16" t="s">
        <v>901</v>
      </c>
      <c r="B26" s="123">
        <v>0.72499999999999998</v>
      </c>
      <c r="C26" s="208"/>
      <c r="D26" s="3">
        <v>0.5</v>
      </c>
      <c r="E26" s="105">
        <f t="shared" si="0"/>
        <v>0.72499999999999998</v>
      </c>
      <c r="F26" s="192"/>
      <c r="G26" s="209"/>
      <c r="H26" s="4"/>
      <c r="I26" s="5"/>
      <c r="N26" s="3"/>
      <c r="O26" s="3"/>
      <c r="Q26" s="3"/>
    </row>
    <row r="27" spans="1:17" s="2" customFormat="1" ht="15" x14ac:dyDescent="0.25">
      <c r="A27" s="16" t="s">
        <v>900</v>
      </c>
      <c r="B27" s="123">
        <v>0.72499999999999998</v>
      </c>
      <c r="C27" s="208"/>
      <c r="D27" s="3">
        <v>0.5</v>
      </c>
      <c r="E27" s="105">
        <f t="shared" si="0"/>
        <v>0.72499999999999998</v>
      </c>
      <c r="F27" s="192">
        <f>0.55*1.45</f>
        <v>0.79749999999999999</v>
      </c>
      <c r="G27" s="209">
        <f>(AVERAGE(E27:E29)-F27)/F27</f>
        <v>0</v>
      </c>
      <c r="H27" s="4"/>
      <c r="I27" s="5"/>
      <c r="N27" s="3"/>
      <c r="O27" s="3"/>
      <c r="Q27" s="3"/>
    </row>
    <row r="28" spans="1:17" s="2" customFormat="1" ht="15" x14ac:dyDescent="0.25">
      <c r="A28" s="16" t="s">
        <v>899</v>
      </c>
      <c r="B28" s="123">
        <v>0.72499999999999998</v>
      </c>
      <c r="C28" s="208"/>
      <c r="D28" s="3">
        <v>0.5</v>
      </c>
      <c r="E28" s="105">
        <f t="shared" si="0"/>
        <v>0.72499999999999998</v>
      </c>
      <c r="F28" s="192"/>
      <c r="G28" s="209"/>
      <c r="H28" s="4"/>
      <c r="I28" s="5"/>
      <c r="N28" s="3"/>
      <c r="O28" s="3"/>
      <c r="Q28" s="3"/>
    </row>
    <row r="29" spans="1:17" s="2" customFormat="1" ht="15" x14ac:dyDescent="0.25">
      <c r="A29" s="16" t="s">
        <v>898</v>
      </c>
      <c r="B29" s="123">
        <v>0.9425</v>
      </c>
      <c r="C29" s="208"/>
      <c r="D29" s="3">
        <v>0.65</v>
      </c>
      <c r="E29" s="105">
        <f t="shared" si="0"/>
        <v>0.9425</v>
      </c>
      <c r="F29" s="192"/>
      <c r="G29" s="209"/>
      <c r="H29" s="4"/>
      <c r="I29" s="5"/>
      <c r="N29" s="3"/>
      <c r="O29" s="3"/>
      <c r="Q29" s="3"/>
    </row>
    <row r="30" spans="1:17" s="2" customFormat="1" ht="15" x14ac:dyDescent="0.25">
      <c r="A30" s="16" t="s">
        <v>897</v>
      </c>
      <c r="B30" s="123">
        <v>1.5225</v>
      </c>
      <c r="C30" s="208"/>
      <c r="D30" s="3">
        <v>1.05</v>
      </c>
      <c r="E30" s="105">
        <f t="shared" si="0"/>
        <v>1.5225</v>
      </c>
      <c r="F30" s="192">
        <f>1.35*1.45</f>
        <v>1.9575</v>
      </c>
      <c r="G30" s="209">
        <f>(AVERAGE(E30:E32)-F30)/F30</f>
        <v>-1.1343274836527781E-16</v>
      </c>
      <c r="H30" s="4"/>
      <c r="I30" s="5"/>
      <c r="N30" s="3"/>
      <c r="O30" s="3"/>
      <c r="Q30" s="3"/>
    </row>
    <row r="31" spans="1:17" s="2" customFormat="1" ht="15" x14ac:dyDescent="0.25">
      <c r="A31" s="16" t="s">
        <v>896</v>
      </c>
      <c r="B31" s="123">
        <v>2.0299999999999998</v>
      </c>
      <c r="C31" s="208"/>
      <c r="D31" s="3">
        <v>1.4</v>
      </c>
      <c r="E31" s="105">
        <f t="shared" si="0"/>
        <v>2.0299999999999998</v>
      </c>
      <c r="F31" s="192"/>
      <c r="G31" s="209"/>
      <c r="H31" s="4"/>
      <c r="I31" s="5"/>
      <c r="N31" s="3"/>
      <c r="O31" s="3"/>
      <c r="Q31" s="3"/>
    </row>
    <row r="32" spans="1:17" s="2" customFormat="1" ht="15" x14ac:dyDescent="0.25">
      <c r="A32" s="16" t="s">
        <v>895</v>
      </c>
      <c r="B32" s="123">
        <v>2.3199999999999998</v>
      </c>
      <c r="C32" s="208"/>
      <c r="D32" s="3">
        <v>1.6</v>
      </c>
      <c r="E32" s="105">
        <f t="shared" si="0"/>
        <v>2.3199999999999998</v>
      </c>
      <c r="F32" s="192"/>
      <c r="G32" s="209"/>
      <c r="H32" s="4"/>
      <c r="I32" s="5"/>
      <c r="N32" s="3"/>
      <c r="O32" s="3"/>
      <c r="Q32" s="3"/>
    </row>
    <row r="35" spans="1:4" ht="15" x14ac:dyDescent="0.25">
      <c r="A35" s="188" t="s">
        <v>955</v>
      </c>
      <c r="B35" s="188"/>
      <c r="C35" s="188"/>
      <c r="D35" s="2"/>
    </row>
    <row r="36" spans="1:4" ht="15" x14ac:dyDescent="0.25">
      <c r="A36" s="9"/>
      <c r="B36" s="72" t="s">
        <v>958</v>
      </c>
      <c r="C36" s="72" t="s">
        <v>959</v>
      </c>
      <c r="D36" s="2"/>
    </row>
    <row r="37" spans="1:4" ht="15" x14ac:dyDescent="0.25">
      <c r="A37" s="72" t="s">
        <v>956</v>
      </c>
      <c r="B37" s="89">
        <v>0.377</v>
      </c>
      <c r="C37" s="89">
        <v>0.434</v>
      </c>
      <c r="D37" s="71" t="s">
        <v>960</v>
      </c>
    </row>
    <row r="38" spans="1:4" ht="15" x14ac:dyDescent="0.25">
      <c r="A38" s="72" t="s">
        <v>957</v>
      </c>
      <c r="B38" s="89">
        <v>3.1E-2</v>
      </c>
      <c r="C38" s="89">
        <v>3.5999999999999997E-2</v>
      </c>
      <c r="D38" s="71" t="s">
        <v>963</v>
      </c>
    </row>
    <row r="39" spans="1:4" ht="15" x14ac:dyDescent="0.25">
      <c r="A39" s="72" t="s">
        <v>961</v>
      </c>
      <c r="B39" s="203">
        <v>0.496</v>
      </c>
      <c r="C39" s="203"/>
      <c r="D39" s="71" t="s">
        <v>971</v>
      </c>
    </row>
    <row r="40" spans="1:4" ht="15" x14ac:dyDescent="0.25">
      <c r="A40" s="72" t="s">
        <v>962</v>
      </c>
      <c r="B40" s="203">
        <v>0.105</v>
      </c>
      <c r="C40" s="203"/>
      <c r="D40" s="71" t="s">
        <v>971</v>
      </c>
    </row>
  </sheetData>
  <sheetProtection selectLockedCells="1" selectUnlockedCells="1"/>
  <mergeCells count="17">
    <mergeCell ref="F21:F23"/>
    <mergeCell ref="F24:F26"/>
    <mergeCell ref="F27:F29"/>
    <mergeCell ref="F30:F32"/>
    <mergeCell ref="G21:G23"/>
    <mergeCell ref="G24:G26"/>
    <mergeCell ref="G27:G29"/>
    <mergeCell ref="G30:G32"/>
    <mergeCell ref="A35:C35"/>
    <mergeCell ref="B39:C39"/>
    <mergeCell ref="B40:C40"/>
    <mergeCell ref="B6:E6"/>
    <mergeCell ref="B10:C10"/>
    <mergeCell ref="B12:E12"/>
    <mergeCell ref="B16:C16"/>
    <mergeCell ref="A20:B20"/>
    <mergeCell ref="C21:C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35"/>
  <sheetViews>
    <sheetView zoomScale="87" zoomScaleNormal="87" workbookViewId="0">
      <pane ySplit="1" topLeftCell="A205" activePane="bottomLeft" state="frozen"/>
      <selection activeCell="F29" sqref="F29"/>
      <selection pane="bottomLeft" activeCell="F29" sqref="F29"/>
    </sheetView>
  </sheetViews>
  <sheetFormatPr defaultColWidth="60.7109375" defaultRowHeight="20.25" customHeight="1" x14ac:dyDescent="0.2"/>
  <cols>
    <col min="1" max="1" width="58.140625" style="90" bestFit="1" customWidth="1"/>
    <col min="2" max="2" width="34.28515625" style="90" bestFit="1" customWidth="1"/>
    <col min="3" max="3" width="19.140625" style="90" bestFit="1" customWidth="1"/>
    <col min="4" max="4" width="22.7109375" style="90" customWidth="1"/>
    <col min="5" max="5" width="35.85546875" style="90" customWidth="1"/>
    <col min="6" max="6" width="32.140625" style="90" bestFit="1" customWidth="1"/>
    <col min="7" max="7" width="38.28515625" style="90" bestFit="1" customWidth="1"/>
    <col min="8" max="8" width="27.42578125" style="90" bestFit="1" customWidth="1"/>
    <col min="9" max="9" width="44" style="90" customWidth="1"/>
    <col min="10" max="10" width="41.7109375" style="90" bestFit="1" customWidth="1"/>
    <col min="11" max="11" width="32.28515625" style="90" bestFit="1" customWidth="1"/>
    <col min="12" max="12" width="39.28515625" style="90" bestFit="1" customWidth="1"/>
    <col min="13" max="13" width="7.28515625" style="90" customWidth="1"/>
    <col min="14" max="14" width="10.140625" style="90" customWidth="1"/>
    <col min="15" max="15" width="6" style="90" bestFit="1" customWidth="1"/>
    <col min="16" max="16" width="19.85546875" style="90" customWidth="1"/>
    <col min="17" max="17" width="18" style="90" bestFit="1" customWidth="1"/>
    <col min="18" max="18" width="16" style="90" customWidth="1"/>
    <col min="19" max="16384" width="60.7109375" style="90"/>
  </cols>
  <sheetData>
    <row r="1" spans="1:18" s="69" customFormat="1" ht="20.25" customHeight="1" x14ac:dyDescent="0.25">
      <c r="A1" s="108" t="s">
        <v>884</v>
      </c>
      <c r="B1" s="108" t="s">
        <v>883</v>
      </c>
      <c r="C1" s="108" t="s">
        <v>882</v>
      </c>
      <c r="D1" s="108" t="s">
        <v>881</v>
      </c>
      <c r="E1" s="108" t="s">
        <v>880</v>
      </c>
      <c r="F1" s="109" t="s">
        <v>879</v>
      </c>
      <c r="G1" s="108" t="s">
        <v>878</v>
      </c>
      <c r="H1" s="108" t="s">
        <v>877</v>
      </c>
      <c r="I1" s="108" t="s">
        <v>876</v>
      </c>
      <c r="J1" s="108" t="s">
        <v>875</v>
      </c>
      <c r="K1" s="108" t="s">
        <v>874</v>
      </c>
      <c r="L1" s="108" t="s">
        <v>873</v>
      </c>
      <c r="M1" s="108" t="s">
        <v>872</v>
      </c>
      <c r="N1" s="108" t="s">
        <v>1023</v>
      </c>
      <c r="O1" s="108" t="s">
        <v>871</v>
      </c>
      <c r="P1" s="110" t="s">
        <v>870</v>
      </c>
      <c r="Q1" s="111" t="s">
        <v>869</v>
      </c>
      <c r="R1" s="68"/>
    </row>
    <row r="2" spans="1:18" s="69" customFormat="1" ht="20.25" customHeight="1" x14ac:dyDescent="0.2">
      <c r="A2" s="112" t="s">
        <v>866</v>
      </c>
      <c r="B2" s="112" t="s">
        <v>868</v>
      </c>
      <c r="C2" s="113" t="s">
        <v>867</v>
      </c>
      <c r="D2" s="112" t="s">
        <v>16</v>
      </c>
      <c r="E2" s="112" t="s">
        <v>1024</v>
      </c>
      <c r="F2" s="114" t="s">
        <v>1025</v>
      </c>
      <c r="G2" s="112">
        <v>4651</v>
      </c>
      <c r="H2" s="112" t="s">
        <v>1026</v>
      </c>
      <c r="I2" s="112" t="s">
        <v>866</v>
      </c>
      <c r="J2" s="113" t="s">
        <v>865</v>
      </c>
      <c r="K2" s="112" t="s">
        <v>13</v>
      </c>
      <c r="L2" s="113" t="s">
        <v>6</v>
      </c>
      <c r="M2" s="112">
        <v>1</v>
      </c>
      <c r="N2" s="112">
        <v>1</v>
      </c>
      <c r="O2" s="112">
        <v>0</v>
      </c>
      <c r="P2" s="112" t="s">
        <v>1027</v>
      </c>
      <c r="Q2" s="112"/>
      <c r="R2" s="70"/>
    </row>
    <row r="3" spans="1:18" s="69" customFormat="1" ht="20.25" customHeight="1" x14ac:dyDescent="0.2">
      <c r="A3" s="115" t="s">
        <v>862</v>
      </c>
      <c r="B3" s="115" t="s">
        <v>864</v>
      </c>
      <c r="C3" s="116" t="s">
        <v>863</v>
      </c>
      <c r="D3" s="115" t="s">
        <v>16</v>
      </c>
      <c r="E3" s="115" t="s">
        <v>1028</v>
      </c>
      <c r="F3" s="117">
        <v>11</v>
      </c>
      <c r="G3" s="115">
        <v>2070</v>
      </c>
      <c r="H3" s="115" t="s">
        <v>1029</v>
      </c>
      <c r="I3" s="115" t="s">
        <v>862</v>
      </c>
      <c r="J3" s="116" t="s">
        <v>861</v>
      </c>
      <c r="K3" s="115" t="s">
        <v>13</v>
      </c>
      <c r="L3" s="116" t="s">
        <v>6</v>
      </c>
      <c r="M3" s="115">
        <v>1</v>
      </c>
      <c r="N3" s="115">
        <v>0</v>
      </c>
      <c r="O3" s="115">
        <v>0</v>
      </c>
      <c r="P3" s="115" t="s">
        <v>1030</v>
      </c>
      <c r="Q3" s="115"/>
      <c r="R3" s="70"/>
    </row>
    <row r="4" spans="1:18" s="69" customFormat="1" ht="20.25" customHeight="1" x14ac:dyDescent="0.2">
      <c r="A4" s="112" t="s">
        <v>858</v>
      </c>
      <c r="B4" s="112" t="s">
        <v>860</v>
      </c>
      <c r="C4" s="113" t="s">
        <v>859</v>
      </c>
      <c r="D4" s="112" t="s">
        <v>16</v>
      </c>
      <c r="E4" s="112" t="s">
        <v>1031</v>
      </c>
      <c r="F4" s="114" t="s">
        <v>1025</v>
      </c>
      <c r="G4" s="112">
        <v>9130</v>
      </c>
      <c r="H4" s="112" t="s">
        <v>1032</v>
      </c>
      <c r="I4" s="112" t="s">
        <v>858</v>
      </c>
      <c r="J4" s="113" t="s">
        <v>857</v>
      </c>
      <c r="K4" s="112" t="s">
        <v>13</v>
      </c>
      <c r="L4" s="113" t="s">
        <v>6</v>
      </c>
      <c r="M4" s="112">
        <v>1</v>
      </c>
      <c r="N4" s="112">
        <v>0</v>
      </c>
      <c r="O4" s="112">
        <v>0</v>
      </c>
      <c r="P4" s="112" t="s">
        <v>1033</v>
      </c>
      <c r="Q4" s="112"/>
      <c r="R4" s="70"/>
    </row>
    <row r="5" spans="1:18" s="69" customFormat="1" ht="20.25" customHeight="1" x14ac:dyDescent="0.2">
      <c r="A5" s="115" t="s">
        <v>854</v>
      </c>
      <c r="B5" s="115" t="s">
        <v>856</v>
      </c>
      <c r="C5" s="116" t="s">
        <v>855</v>
      </c>
      <c r="D5" s="115" t="s">
        <v>16</v>
      </c>
      <c r="E5" s="115" t="s">
        <v>1034</v>
      </c>
      <c r="F5" s="117">
        <v>3</v>
      </c>
      <c r="G5" s="115">
        <v>9130</v>
      </c>
      <c r="H5" s="115" t="s">
        <v>1032</v>
      </c>
      <c r="I5" s="115" t="s">
        <v>854</v>
      </c>
      <c r="J5" s="116" t="s">
        <v>853</v>
      </c>
      <c r="K5" s="115" t="s">
        <v>13</v>
      </c>
      <c r="L5" s="116" t="s">
        <v>6</v>
      </c>
      <c r="M5" s="115">
        <v>1</v>
      </c>
      <c r="N5" s="115">
        <v>0</v>
      </c>
      <c r="O5" s="115">
        <v>0</v>
      </c>
      <c r="P5" s="115" t="s">
        <v>1035</v>
      </c>
      <c r="Q5" s="115"/>
      <c r="R5" s="70"/>
    </row>
    <row r="6" spans="1:18" s="69" customFormat="1" ht="20.25" customHeight="1" x14ac:dyDescent="0.2">
      <c r="A6" s="115" t="s">
        <v>1591</v>
      </c>
      <c r="B6" s="115" t="s">
        <v>373</v>
      </c>
      <c r="C6" s="116" t="s">
        <v>372</v>
      </c>
      <c r="D6" s="115" t="s">
        <v>16</v>
      </c>
      <c r="E6" s="115" t="s">
        <v>1383</v>
      </c>
      <c r="F6" s="117">
        <v>6</v>
      </c>
      <c r="G6" s="115">
        <v>3980</v>
      </c>
      <c r="H6" s="115" t="s">
        <v>1178</v>
      </c>
      <c r="I6" s="115" t="s">
        <v>371</v>
      </c>
      <c r="J6" s="116" t="s">
        <v>370</v>
      </c>
      <c r="K6" s="115" t="s">
        <v>13</v>
      </c>
      <c r="L6" s="116" t="s">
        <v>19</v>
      </c>
      <c r="M6" s="115">
        <v>1</v>
      </c>
      <c r="N6" s="115">
        <v>1</v>
      </c>
      <c r="O6" s="115">
        <v>0</v>
      </c>
      <c r="P6" s="115" t="s">
        <v>1384</v>
      </c>
      <c r="Q6" s="115"/>
      <c r="R6" s="70"/>
    </row>
    <row r="7" spans="1:18" s="69" customFormat="1" ht="20.25" customHeight="1" x14ac:dyDescent="0.2">
      <c r="A7" s="162" t="s">
        <v>1590</v>
      </c>
      <c r="B7" s="162" t="s">
        <v>387</v>
      </c>
      <c r="C7" s="163" t="s">
        <v>386</v>
      </c>
      <c r="D7" s="162" t="s">
        <v>16</v>
      </c>
      <c r="E7" s="162" t="s">
        <v>1368</v>
      </c>
      <c r="F7" s="164">
        <v>450</v>
      </c>
      <c r="G7" s="162">
        <v>2040</v>
      </c>
      <c r="H7" s="162" t="s">
        <v>1050</v>
      </c>
      <c r="I7" s="162" t="s">
        <v>385</v>
      </c>
      <c r="J7" s="163" t="s">
        <v>384</v>
      </c>
      <c r="K7" s="162" t="s">
        <v>13</v>
      </c>
      <c r="L7" s="163" t="s">
        <v>6</v>
      </c>
      <c r="M7" s="162">
        <v>1</v>
      </c>
      <c r="N7" s="162">
        <v>0</v>
      </c>
      <c r="O7" s="162">
        <v>0</v>
      </c>
      <c r="P7" s="162" t="s">
        <v>1369</v>
      </c>
      <c r="Q7" s="162" t="s">
        <v>1611</v>
      </c>
      <c r="R7" s="70"/>
    </row>
    <row r="8" spans="1:18" s="69" customFormat="1" ht="20.25" customHeight="1" x14ac:dyDescent="0.2">
      <c r="A8" s="112" t="s">
        <v>1579</v>
      </c>
      <c r="B8" s="112" t="s">
        <v>852</v>
      </c>
      <c r="C8" s="113" t="s">
        <v>851</v>
      </c>
      <c r="D8" s="112" t="s">
        <v>16</v>
      </c>
      <c r="E8" s="112" t="s">
        <v>1036</v>
      </c>
      <c r="F8" s="114">
        <v>1</v>
      </c>
      <c r="G8" s="112">
        <v>6220</v>
      </c>
      <c r="H8" s="112" t="s">
        <v>1037</v>
      </c>
      <c r="I8" s="112" t="s">
        <v>850</v>
      </c>
      <c r="J8" s="113" t="s">
        <v>849</v>
      </c>
      <c r="K8" s="112" t="s">
        <v>13</v>
      </c>
      <c r="L8" s="113" t="s">
        <v>6</v>
      </c>
      <c r="M8" s="112">
        <v>1</v>
      </c>
      <c r="N8" s="112">
        <v>1</v>
      </c>
      <c r="O8" s="112">
        <v>0</v>
      </c>
      <c r="P8" s="112" t="s">
        <v>1038</v>
      </c>
      <c r="Q8" s="112"/>
      <c r="R8" s="70"/>
    </row>
    <row r="9" spans="1:18" s="69" customFormat="1" ht="20.25" customHeight="1" x14ac:dyDescent="0.2">
      <c r="A9" s="115" t="s">
        <v>846</v>
      </c>
      <c r="B9" s="115" t="s">
        <v>848</v>
      </c>
      <c r="C9" s="116" t="s">
        <v>847</v>
      </c>
      <c r="D9" s="115" t="s">
        <v>16</v>
      </c>
      <c r="E9" s="115" t="s">
        <v>1039</v>
      </c>
      <c r="F9" s="117">
        <v>157</v>
      </c>
      <c r="G9" s="115">
        <v>6000</v>
      </c>
      <c r="H9" s="115" t="s">
        <v>1040</v>
      </c>
      <c r="I9" s="115" t="s">
        <v>846</v>
      </c>
      <c r="J9" s="116" t="s">
        <v>845</v>
      </c>
      <c r="K9" s="115" t="s">
        <v>13</v>
      </c>
      <c r="L9" s="116" t="s">
        <v>6</v>
      </c>
      <c r="M9" s="115">
        <v>1</v>
      </c>
      <c r="N9" s="115">
        <v>1</v>
      </c>
      <c r="O9" s="115">
        <v>1</v>
      </c>
      <c r="P9" s="115" t="s">
        <v>1041</v>
      </c>
      <c r="Q9" s="115"/>
      <c r="R9" s="70"/>
    </row>
    <row r="10" spans="1:18" s="69" customFormat="1" ht="20.25" customHeight="1" x14ac:dyDescent="0.2">
      <c r="A10" s="112" t="s">
        <v>842</v>
      </c>
      <c r="B10" s="112" t="s">
        <v>844</v>
      </c>
      <c r="C10" s="113" t="s">
        <v>843</v>
      </c>
      <c r="D10" s="112" t="s">
        <v>16</v>
      </c>
      <c r="E10" s="112" t="s">
        <v>1042</v>
      </c>
      <c r="F10" s="114" t="s">
        <v>1025</v>
      </c>
      <c r="G10" s="112">
        <v>2400</v>
      </c>
      <c r="H10" s="112" t="s">
        <v>1043</v>
      </c>
      <c r="I10" s="112" t="s">
        <v>842</v>
      </c>
      <c r="J10" s="113" t="s">
        <v>841</v>
      </c>
      <c r="K10" s="112" t="s">
        <v>13</v>
      </c>
      <c r="L10" s="113" t="s">
        <v>6</v>
      </c>
      <c r="M10" s="112">
        <v>1</v>
      </c>
      <c r="N10" s="112">
        <v>0</v>
      </c>
      <c r="O10" s="112">
        <v>0</v>
      </c>
      <c r="P10" s="112" t="s">
        <v>1044</v>
      </c>
      <c r="Q10" s="112" t="s">
        <v>1045</v>
      </c>
      <c r="R10" s="70"/>
    </row>
    <row r="11" spans="1:18" s="69" customFormat="1" ht="20.25" customHeight="1" x14ac:dyDescent="0.2">
      <c r="A11" s="115" t="s">
        <v>838</v>
      </c>
      <c r="B11" s="115" t="s">
        <v>840</v>
      </c>
      <c r="C11" s="116" t="s">
        <v>839</v>
      </c>
      <c r="D11" s="115" t="s">
        <v>16</v>
      </c>
      <c r="E11" s="115" t="s">
        <v>1046</v>
      </c>
      <c r="F11" s="117">
        <v>167</v>
      </c>
      <c r="G11" s="115">
        <v>5190</v>
      </c>
      <c r="H11" s="115" t="s">
        <v>1047</v>
      </c>
      <c r="I11" s="115" t="s">
        <v>838</v>
      </c>
      <c r="J11" s="116" t="s">
        <v>837</v>
      </c>
      <c r="K11" s="115" t="s">
        <v>13</v>
      </c>
      <c r="L11" s="116" t="s">
        <v>6</v>
      </c>
      <c r="M11" s="115">
        <v>1</v>
      </c>
      <c r="N11" s="115">
        <v>1</v>
      </c>
      <c r="O11" s="115">
        <v>0</v>
      </c>
      <c r="P11" s="115" t="s">
        <v>1048</v>
      </c>
      <c r="Q11" s="115"/>
      <c r="R11" s="70"/>
    </row>
    <row r="12" spans="1:18" s="69" customFormat="1" ht="20.25" customHeight="1" x14ac:dyDescent="0.2">
      <c r="A12" s="112" t="s">
        <v>836</v>
      </c>
      <c r="B12" s="112" t="s">
        <v>835</v>
      </c>
      <c r="C12" s="113" t="s">
        <v>834</v>
      </c>
      <c r="D12" s="112" t="s">
        <v>16</v>
      </c>
      <c r="E12" s="112" t="s">
        <v>1049</v>
      </c>
      <c r="F12" s="114">
        <v>600</v>
      </c>
      <c r="G12" s="112">
        <v>2040</v>
      </c>
      <c r="H12" s="112" t="s">
        <v>1050</v>
      </c>
      <c r="I12" s="112" t="s">
        <v>825</v>
      </c>
      <c r="J12" s="113" t="s">
        <v>824</v>
      </c>
      <c r="K12" s="112" t="s">
        <v>13</v>
      </c>
      <c r="L12" s="113" t="s">
        <v>6</v>
      </c>
      <c r="M12" s="112">
        <v>1</v>
      </c>
      <c r="N12" s="112">
        <v>0</v>
      </c>
      <c r="O12" s="112">
        <v>0</v>
      </c>
      <c r="P12" s="112" t="s">
        <v>1051</v>
      </c>
      <c r="Q12" s="112"/>
      <c r="R12" s="70"/>
    </row>
    <row r="13" spans="1:18" s="69" customFormat="1" ht="20.25" customHeight="1" x14ac:dyDescent="0.2">
      <c r="A13" s="115" t="s">
        <v>833</v>
      </c>
      <c r="B13" s="115" t="s">
        <v>832</v>
      </c>
      <c r="C13" s="116" t="s">
        <v>831</v>
      </c>
      <c r="D13" s="115" t="s">
        <v>16</v>
      </c>
      <c r="E13" s="115" t="s">
        <v>1052</v>
      </c>
      <c r="F13" s="117" t="s">
        <v>1053</v>
      </c>
      <c r="G13" s="115">
        <v>6030</v>
      </c>
      <c r="H13" s="115" t="s">
        <v>1054</v>
      </c>
      <c r="I13" s="115" t="s">
        <v>830</v>
      </c>
      <c r="J13" s="116" t="s">
        <v>829</v>
      </c>
      <c r="K13" s="115" t="s">
        <v>13</v>
      </c>
      <c r="L13" s="116" t="s">
        <v>6</v>
      </c>
      <c r="M13" s="115">
        <v>1</v>
      </c>
      <c r="N13" s="115">
        <v>1</v>
      </c>
      <c r="O13" s="115">
        <v>1</v>
      </c>
      <c r="P13" s="115" t="s">
        <v>1055</v>
      </c>
      <c r="Q13" s="115"/>
      <c r="R13" s="70"/>
    </row>
    <row r="14" spans="1:18" s="69" customFormat="1" ht="20.25" customHeight="1" x14ac:dyDescent="0.2">
      <c r="A14" s="112" t="s">
        <v>828</v>
      </c>
      <c r="B14" s="112" t="s">
        <v>827</v>
      </c>
      <c r="C14" s="113" t="s">
        <v>826</v>
      </c>
      <c r="D14" s="112" t="s">
        <v>16</v>
      </c>
      <c r="E14" s="112" t="s">
        <v>1056</v>
      </c>
      <c r="F14" s="114">
        <v>600</v>
      </c>
      <c r="G14" s="112">
        <v>2040</v>
      </c>
      <c r="H14" s="112" t="s">
        <v>1050</v>
      </c>
      <c r="I14" s="112" t="s">
        <v>825</v>
      </c>
      <c r="J14" s="113" t="s">
        <v>824</v>
      </c>
      <c r="K14" s="112" t="s">
        <v>13</v>
      </c>
      <c r="L14" s="113" t="s">
        <v>6</v>
      </c>
      <c r="M14" s="112">
        <v>1</v>
      </c>
      <c r="N14" s="112">
        <v>0</v>
      </c>
      <c r="O14" s="112">
        <v>0</v>
      </c>
      <c r="P14" s="112" t="s">
        <v>1051</v>
      </c>
      <c r="Q14" s="112"/>
      <c r="R14" s="70"/>
    </row>
    <row r="15" spans="1:18" s="69" customFormat="1" ht="20.25" customHeight="1" x14ac:dyDescent="0.2">
      <c r="A15" s="118" t="s">
        <v>1057</v>
      </c>
      <c r="B15" s="118" t="s">
        <v>1058</v>
      </c>
      <c r="C15" s="119">
        <v>21793</v>
      </c>
      <c r="D15" s="118" t="s">
        <v>16</v>
      </c>
      <c r="E15" s="115" t="s">
        <v>1049</v>
      </c>
      <c r="F15" s="117">
        <v>600</v>
      </c>
      <c r="G15" s="115">
        <v>2040</v>
      </c>
      <c r="H15" s="115" t="s">
        <v>1050</v>
      </c>
      <c r="I15" s="118" t="s">
        <v>1057</v>
      </c>
      <c r="J15" s="120" t="s">
        <v>1059</v>
      </c>
      <c r="K15" s="118" t="s">
        <v>13</v>
      </c>
      <c r="L15" s="119" t="s">
        <v>6</v>
      </c>
      <c r="M15" s="118">
        <v>1</v>
      </c>
      <c r="N15" s="118">
        <v>0</v>
      </c>
      <c r="O15" s="118">
        <v>0</v>
      </c>
      <c r="P15" s="115" t="s">
        <v>1060</v>
      </c>
      <c r="Q15" s="115"/>
      <c r="R15" s="70"/>
    </row>
    <row r="16" spans="1:18" s="69" customFormat="1" ht="20.25" customHeight="1" x14ac:dyDescent="0.2">
      <c r="A16" s="112" t="s">
        <v>362</v>
      </c>
      <c r="B16" s="112" t="s">
        <v>820</v>
      </c>
      <c r="C16" s="119" t="s">
        <v>819</v>
      </c>
      <c r="D16" s="112" t="s">
        <v>16</v>
      </c>
      <c r="E16" s="112" t="s">
        <v>1061</v>
      </c>
      <c r="F16" s="114">
        <v>1</v>
      </c>
      <c r="G16" s="112">
        <v>9042</v>
      </c>
      <c r="H16" s="112" t="s">
        <v>34</v>
      </c>
      <c r="I16" s="115" t="s">
        <v>362</v>
      </c>
      <c r="J16" s="116" t="s">
        <v>361</v>
      </c>
      <c r="K16" s="115" t="s">
        <v>13</v>
      </c>
      <c r="L16" s="116" t="s">
        <v>6</v>
      </c>
      <c r="M16" s="115">
        <v>1</v>
      </c>
      <c r="N16" s="115">
        <v>0</v>
      </c>
      <c r="O16" s="115">
        <v>0</v>
      </c>
      <c r="P16" s="112" t="s">
        <v>1062</v>
      </c>
      <c r="Q16" s="112"/>
      <c r="R16" s="70"/>
    </row>
    <row r="17" spans="1:18" s="69" customFormat="1" ht="20.25" customHeight="1" x14ac:dyDescent="0.2">
      <c r="A17" s="115" t="s">
        <v>816</v>
      </c>
      <c r="B17" s="115" t="s">
        <v>818</v>
      </c>
      <c r="C17" s="116" t="s">
        <v>817</v>
      </c>
      <c r="D17" s="115" t="s">
        <v>16</v>
      </c>
      <c r="E17" s="115" t="s">
        <v>1063</v>
      </c>
      <c r="F17" s="117">
        <v>37</v>
      </c>
      <c r="G17" s="115">
        <v>9000</v>
      </c>
      <c r="H17" s="115" t="s">
        <v>34</v>
      </c>
      <c r="I17" s="115" t="s">
        <v>816</v>
      </c>
      <c r="J17" s="116" t="s">
        <v>815</v>
      </c>
      <c r="K17" s="115" t="s">
        <v>13</v>
      </c>
      <c r="L17" s="116" t="s">
        <v>6</v>
      </c>
      <c r="M17" s="115">
        <v>1</v>
      </c>
      <c r="N17" s="115">
        <v>0</v>
      </c>
      <c r="O17" s="115">
        <v>0</v>
      </c>
      <c r="P17" s="115" t="s">
        <v>1064</v>
      </c>
      <c r="Q17" s="115"/>
      <c r="R17" s="70"/>
    </row>
    <row r="18" spans="1:18" s="69" customFormat="1" ht="20.25" customHeight="1" x14ac:dyDescent="0.2">
      <c r="A18" s="112" t="s">
        <v>812</v>
      </c>
      <c r="B18" s="112" t="s">
        <v>814</v>
      </c>
      <c r="C18" s="113" t="s">
        <v>813</v>
      </c>
      <c r="D18" s="112" t="s">
        <v>16</v>
      </c>
      <c r="E18" s="112" t="s">
        <v>1065</v>
      </c>
      <c r="F18" s="114">
        <v>2</v>
      </c>
      <c r="G18" s="112">
        <v>9052</v>
      </c>
      <c r="H18" s="112" t="s">
        <v>1066</v>
      </c>
      <c r="I18" s="112" t="s">
        <v>812</v>
      </c>
      <c r="J18" s="113" t="s">
        <v>811</v>
      </c>
      <c r="K18" s="112" t="s">
        <v>13</v>
      </c>
      <c r="L18" s="113" t="s">
        <v>6</v>
      </c>
      <c r="M18" s="112">
        <v>1</v>
      </c>
      <c r="N18" s="112">
        <v>1</v>
      </c>
      <c r="O18" s="112">
        <v>1</v>
      </c>
      <c r="P18" s="112" t="s">
        <v>1067</v>
      </c>
      <c r="Q18" s="112"/>
      <c r="R18" s="70"/>
    </row>
    <row r="19" spans="1:18" s="69" customFormat="1" ht="20.25" customHeight="1" x14ac:dyDescent="0.2">
      <c r="A19" s="115" t="s">
        <v>808</v>
      </c>
      <c r="B19" s="115" t="s">
        <v>810</v>
      </c>
      <c r="C19" s="116" t="s">
        <v>809</v>
      </c>
      <c r="D19" s="115" t="s">
        <v>16</v>
      </c>
      <c r="E19" s="115" t="s">
        <v>1068</v>
      </c>
      <c r="F19" s="117">
        <v>801</v>
      </c>
      <c r="G19" s="115">
        <v>9000</v>
      </c>
      <c r="H19" s="115" t="s">
        <v>34</v>
      </c>
      <c r="I19" s="115" t="s">
        <v>808</v>
      </c>
      <c r="J19" s="116" t="s">
        <v>807</v>
      </c>
      <c r="K19" s="115" t="s">
        <v>13</v>
      </c>
      <c r="L19" s="116" t="s">
        <v>6</v>
      </c>
      <c r="M19" s="115">
        <v>1</v>
      </c>
      <c r="N19" s="115">
        <v>1</v>
      </c>
      <c r="O19" s="115">
        <v>1</v>
      </c>
      <c r="P19" s="115" t="s">
        <v>1069</v>
      </c>
      <c r="Q19" s="115"/>
      <c r="R19" s="70"/>
    </row>
    <row r="20" spans="1:18" s="69" customFormat="1" ht="20.25" customHeight="1" x14ac:dyDescent="0.2">
      <c r="A20" s="112" t="s">
        <v>804</v>
      </c>
      <c r="B20" s="112" t="s">
        <v>806</v>
      </c>
      <c r="C20" s="113" t="s">
        <v>805</v>
      </c>
      <c r="D20" s="112" t="s">
        <v>16</v>
      </c>
      <c r="E20" s="112" t="s">
        <v>1070</v>
      </c>
      <c r="F20" s="114">
        <v>1</v>
      </c>
      <c r="G20" s="112">
        <v>6780</v>
      </c>
      <c r="H20" s="112" t="s">
        <v>1071</v>
      </c>
      <c r="I20" s="112" t="s">
        <v>804</v>
      </c>
      <c r="J20" s="113" t="s">
        <v>803</v>
      </c>
      <c r="K20" s="112" t="s">
        <v>13</v>
      </c>
      <c r="L20" s="113" t="s">
        <v>6</v>
      </c>
      <c r="M20" s="112">
        <v>1</v>
      </c>
      <c r="N20" s="112">
        <v>0</v>
      </c>
      <c r="O20" s="112">
        <v>0</v>
      </c>
      <c r="P20" s="112" t="s">
        <v>1072</v>
      </c>
      <c r="Q20" s="112"/>
      <c r="R20" s="70"/>
    </row>
    <row r="21" spans="1:18" s="69" customFormat="1" ht="20.25" customHeight="1" x14ac:dyDescent="0.2">
      <c r="A21" s="115" t="s">
        <v>802</v>
      </c>
      <c r="B21" s="115" t="s">
        <v>801</v>
      </c>
      <c r="C21" s="116" t="s">
        <v>800</v>
      </c>
      <c r="D21" s="115" t="s">
        <v>16</v>
      </c>
      <c r="E21" s="115" t="s">
        <v>1073</v>
      </c>
      <c r="F21" s="117">
        <v>14</v>
      </c>
      <c r="G21" s="115">
        <v>6200</v>
      </c>
      <c r="H21" s="115" t="s">
        <v>1074</v>
      </c>
      <c r="I21" s="115" t="s">
        <v>799</v>
      </c>
      <c r="J21" s="116" t="s">
        <v>798</v>
      </c>
      <c r="K21" s="115" t="s">
        <v>13</v>
      </c>
      <c r="L21" s="116" t="s">
        <v>6</v>
      </c>
      <c r="M21" s="115">
        <v>1</v>
      </c>
      <c r="N21" s="115">
        <v>1</v>
      </c>
      <c r="O21" s="115">
        <v>1</v>
      </c>
      <c r="P21" s="115" t="s">
        <v>1075</v>
      </c>
      <c r="Q21" s="115"/>
      <c r="R21" s="70"/>
    </row>
    <row r="22" spans="1:18" s="69" customFormat="1" ht="20.25" customHeight="1" x14ac:dyDescent="0.2">
      <c r="A22" s="112" t="s">
        <v>795</v>
      </c>
      <c r="B22" s="112" t="s">
        <v>797</v>
      </c>
      <c r="C22" s="113" t="s">
        <v>796</v>
      </c>
      <c r="D22" s="112" t="s">
        <v>16</v>
      </c>
      <c r="E22" s="112" t="s">
        <v>1076</v>
      </c>
      <c r="F22" s="114">
        <v>5</v>
      </c>
      <c r="G22" s="112">
        <v>3600</v>
      </c>
      <c r="H22" s="112" t="s">
        <v>1077</v>
      </c>
      <c r="I22" s="112" t="s">
        <v>795</v>
      </c>
      <c r="J22" s="113" t="s">
        <v>794</v>
      </c>
      <c r="K22" s="112" t="s">
        <v>13</v>
      </c>
      <c r="L22" s="113" t="s">
        <v>6</v>
      </c>
      <c r="M22" s="112">
        <v>1</v>
      </c>
      <c r="N22" s="112">
        <v>0</v>
      </c>
      <c r="O22" s="112">
        <v>0</v>
      </c>
      <c r="P22" s="112" t="s">
        <v>1078</v>
      </c>
      <c r="Q22" s="112"/>
      <c r="R22" s="70"/>
    </row>
    <row r="23" spans="1:18" s="69" customFormat="1" ht="20.25" customHeight="1" x14ac:dyDescent="0.2">
      <c r="A23" s="115" t="s">
        <v>791</v>
      </c>
      <c r="B23" s="115" t="s">
        <v>793</v>
      </c>
      <c r="C23" s="116" t="s">
        <v>792</v>
      </c>
      <c r="D23" s="115" t="s">
        <v>16</v>
      </c>
      <c r="E23" s="115" t="s">
        <v>1079</v>
      </c>
      <c r="F23" s="117">
        <v>3</v>
      </c>
      <c r="G23" s="115">
        <v>3600</v>
      </c>
      <c r="H23" s="115" t="s">
        <v>1077</v>
      </c>
      <c r="I23" s="115" t="s">
        <v>791</v>
      </c>
      <c r="J23" s="116" t="s">
        <v>790</v>
      </c>
      <c r="K23" s="115" t="s">
        <v>13</v>
      </c>
      <c r="L23" s="116" t="s">
        <v>6</v>
      </c>
      <c r="M23" s="115">
        <v>1</v>
      </c>
      <c r="N23" s="115">
        <v>0</v>
      </c>
      <c r="O23" s="115">
        <v>0</v>
      </c>
      <c r="P23" s="115" t="s">
        <v>1080</v>
      </c>
      <c r="Q23" s="115"/>
      <c r="R23" s="70"/>
    </row>
    <row r="24" spans="1:18" s="69" customFormat="1" ht="20.25" customHeight="1" x14ac:dyDescent="0.2">
      <c r="A24" s="112" t="s">
        <v>788</v>
      </c>
      <c r="B24" s="112" t="s">
        <v>981</v>
      </c>
      <c r="C24" s="113" t="s">
        <v>789</v>
      </c>
      <c r="D24" s="112" t="s">
        <v>16</v>
      </c>
      <c r="E24" s="112" t="s">
        <v>1081</v>
      </c>
      <c r="F24" s="114">
        <v>51</v>
      </c>
      <c r="G24" s="112">
        <v>9042</v>
      </c>
      <c r="H24" s="112" t="s">
        <v>34</v>
      </c>
      <c r="I24" s="112" t="s">
        <v>788</v>
      </c>
      <c r="J24" s="113" t="s">
        <v>787</v>
      </c>
      <c r="K24" s="112" t="s">
        <v>13</v>
      </c>
      <c r="L24" s="113" t="s">
        <v>6</v>
      </c>
      <c r="M24" s="112">
        <v>1</v>
      </c>
      <c r="N24" s="112">
        <v>0</v>
      </c>
      <c r="O24" s="112">
        <v>0</v>
      </c>
      <c r="P24" s="112" t="s">
        <v>1082</v>
      </c>
      <c r="Q24" s="112"/>
      <c r="R24" s="70"/>
    </row>
    <row r="25" spans="1:18" s="69" customFormat="1" ht="20.25" customHeight="1" x14ac:dyDescent="0.2">
      <c r="A25" s="115" t="s">
        <v>785</v>
      </c>
      <c r="B25" s="115" t="s">
        <v>784</v>
      </c>
      <c r="C25" s="116" t="s">
        <v>783</v>
      </c>
      <c r="D25" s="115" t="s">
        <v>16</v>
      </c>
      <c r="E25" s="115" t="s">
        <v>1083</v>
      </c>
      <c r="F25" s="117">
        <v>5</v>
      </c>
      <c r="G25" s="115">
        <v>4100</v>
      </c>
      <c r="H25" s="115" t="s">
        <v>1084</v>
      </c>
      <c r="I25" s="115" t="s">
        <v>782</v>
      </c>
      <c r="J25" s="116" t="s">
        <v>781</v>
      </c>
      <c r="K25" s="115" t="s">
        <v>13</v>
      </c>
      <c r="L25" s="116" t="s">
        <v>6</v>
      </c>
      <c r="M25" s="115">
        <v>1</v>
      </c>
      <c r="N25" s="115">
        <v>1</v>
      </c>
      <c r="O25" s="115">
        <v>1</v>
      </c>
      <c r="P25" s="115" t="s">
        <v>1085</v>
      </c>
      <c r="Q25" s="115"/>
      <c r="R25" s="70"/>
    </row>
    <row r="26" spans="1:18" s="69" customFormat="1" ht="20.25" customHeight="1" x14ac:dyDescent="0.2">
      <c r="A26" s="112" t="s">
        <v>778</v>
      </c>
      <c r="B26" s="112" t="s">
        <v>780</v>
      </c>
      <c r="C26" s="113" t="s">
        <v>779</v>
      </c>
      <c r="D26" s="112" t="s">
        <v>16</v>
      </c>
      <c r="E26" s="112" t="s">
        <v>1086</v>
      </c>
      <c r="F26" s="114" t="s">
        <v>1087</v>
      </c>
      <c r="G26" s="112">
        <v>4400</v>
      </c>
      <c r="H26" s="112" t="s">
        <v>1088</v>
      </c>
      <c r="I26" s="112" t="s">
        <v>778</v>
      </c>
      <c r="J26" s="113" t="s">
        <v>777</v>
      </c>
      <c r="K26" s="112" t="s">
        <v>13</v>
      </c>
      <c r="L26" s="113" t="s">
        <v>6</v>
      </c>
      <c r="M26" s="112">
        <v>1</v>
      </c>
      <c r="N26" s="112">
        <v>1</v>
      </c>
      <c r="O26" s="112">
        <v>1</v>
      </c>
      <c r="P26" s="112" t="s">
        <v>1089</v>
      </c>
      <c r="Q26" s="112"/>
      <c r="R26" s="70"/>
    </row>
    <row r="27" spans="1:18" s="69" customFormat="1" ht="20.25" customHeight="1" x14ac:dyDescent="0.2">
      <c r="A27" s="115" t="s">
        <v>771</v>
      </c>
      <c r="B27" s="115" t="s">
        <v>773</v>
      </c>
      <c r="C27" s="116" t="s">
        <v>772</v>
      </c>
      <c r="D27" s="115" t="s">
        <v>16</v>
      </c>
      <c r="E27" s="115" t="s">
        <v>1090</v>
      </c>
      <c r="F27" s="117">
        <v>21</v>
      </c>
      <c r="G27" s="115">
        <v>2070</v>
      </c>
      <c r="H27" s="115" t="s">
        <v>1029</v>
      </c>
      <c r="I27" s="115" t="s">
        <v>771</v>
      </c>
      <c r="J27" s="116" t="s">
        <v>770</v>
      </c>
      <c r="K27" s="115" t="s">
        <v>13</v>
      </c>
      <c r="L27" s="116" t="s">
        <v>6</v>
      </c>
      <c r="M27" s="115">
        <v>1</v>
      </c>
      <c r="N27" s="115">
        <v>0</v>
      </c>
      <c r="O27" s="115">
        <v>0</v>
      </c>
      <c r="P27" s="115" t="s">
        <v>1091</v>
      </c>
      <c r="Q27" s="115"/>
      <c r="R27" s="70"/>
    </row>
    <row r="28" spans="1:18" s="69" customFormat="1" ht="20.25" customHeight="1" x14ac:dyDescent="0.2">
      <c r="A28" s="112" t="s">
        <v>767</v>
      </c>
      <c r="B28" s="112" t="s">
        <v>769</v>
      </c>
      <c r="C28" s="113" t="s">
        <v>768</v>
      </c>
      <c r="D28" s="112" t="s">
        <v>16</v>
      </c>
      <c r="E28" s="112" t="s">
        <v>1092</v>
      </c>
      <c r="F28" s="114">
        <v>2</v>
      </c>
      <c r="G28" s="112">
        <v>9130</v>
      </c>
      <c r="H28" s="112" t="s">
        <v>1093</v>
      </c>
      <c r="I28" s="112" t="s">
        <v>767</v>
      </c>
      <c r="J28" s="113" t="s">
        <v>766</v>
      </c>
      <c r="K28" s="112" t="s">
        <v>13</v>
      </c>
      <c r="L28" s="113" t="s">
        <v>6</v>
      </c>
      <c r="M28" s="112">
        <v>1</v>
      </c>
      <c r="N28" s="112">
        <v>0</v>
      </c>
      <c r="O28" s="112">
        <v>0</v>
      </c>
      <c r="P28" s="112" t="s">
        <v>1094</v>
      </c>
      <c r="Q28" s="112"/>
      <c r="R28" s="70"/>
    </row>
    <row r="29" spans="1:18" s="69" customFormat="1" ht="20.25" customHeight="1" x14ac:dyDescent="0.2">
      <c r="A29" s="115" t="s">
        <v>765</v>
      </c>
      <c r="B29" s="115" t="s">
        <v>764</v>
      </c>
      <c r="C29" s="116" t="s">
        <v>763</v>
      </c>
      <c r="D29" s="115" t="s">
        <v>16</v>
      </c>
      <c r="E29" s="115" t="s">
        <v>1095</v>
      </c>
      <c r="F29" s="117">
        <v>20</v>
      </c>
      <c r="G29" s="115">
        <v>2030</v>
      </c>
      <c r="H29" s="115" t="s">
        <v>1096</v>
      </c>
      <c r="I29" s="115" t="s">
        <v>762</v>
      </c>
      <c r="J29" s="116" t="s">
        <v>761</v>
      </c>
      <c r="K29" s="115" t="s">
        <v>13</v>
      </c>
      <c r="L29" s="116" t="s">
        <v>6</v>
      </c>
      <c r="M29" s="115">
        <v>1</v>
      </c>
      <c r="N29" s="115">
        <v>0</v>
      </c>
      <c r="O29" s="115">
        <v>0</v>
      </c>
      <c r="P29" s="115" t="s">
        <v>1097</v>
      </c>
      <c r="Q29" s="115" t="s">
        <v>1098</v>
      </c>
      <c r="R29" s="70"/>
    </row>
    <row r="30" spans="1:18" s="69" customFormat="1" ht="20.25" customHeight="1" x14ac:dyDescent="0.2">
      <c r="A30" s="162" t="s">
        <v>1588</v>
      </c>
      <c r="B30" s="162" t="s">
        <v>430</v>
      </c>
      <c r="C30" s="163" t="s">
        <v>429</v>
      </c>
      <c r="D30" s="162" t="s">
        <v>16</v>
      </c>
      <c r="E30" s="162" t="s">
        <v>1336</v>
      </c>
      <c r="F30" s="164">
        <v>33</v>
      </c>
      <c r="G30" s="162">
        <v>2340</v>
      </c>
      <c r="H30" s="162" t="s">
        <v>1337</v>
      </c>
      <c r="I30" s="162" t="s">
        <v>428</v>
      </c>
      <c r="J30" s="163" t="s">
        <v>427</v>
      </c>
      <c r="K30" s="162" t="s">
        <v>13</v>
      </c>
      <c r="L30" s="163" t="s">
        <v>6</v>
      </c>
      <c r="M30" s="162">
        <v>1</v>
      </c>
      <c r="N30" s="162">
        <v>0</v>
      </c>
      <c r="O30" s="162">
        <v>0</v>
      </c>
      <c r="P30" s="162" t="s">
        <v>1338</v>
      </c>
      <c r="Q30" s="162" t="s">
        <v>1611</v>
      </c>
      <c r="R30" s="70"/>
    </row>
    <row r="31" spans="1:18" s="69" customFormat="1" ht="20.25" customHeight="1" x14ac:dyDescent="0.2">
      <c r="A31" s="112" t="s">
        <v>758</v>
      </c>
      <c r="B31" s="112" t="s">
        <v>760</v>
      </c>
      <c r="C31" s="113" t="s">
        <v>759</v>
      </c>
      <c r="D31" s="112" t="s">
        <v>16</v>
      </c>
      <c r="E31" s="112" t="s">
        <v>1099</v>
      </c>
      <c r="F31" s="114" t="s">
        <v>1100</v>
      </c>
      <c r="G31" s="112">
        <v>2040</v>
      </c>
      <c r="H31" s="112" t="s">
        <v>1101</v>
      </c>
      <c r="I31" s="112" t="s">
        <v>758</v>
      </c>
      <c r="J31" s="113" t="s">
        <v>757</v>
      </c>
      <c r="K31" s="112" t="s">
        <v>13</v>
      </c>
      <c r="L31" s="113" t="s">
        <v>6</v>
      </c>
      <c r="M31" s="112">
        <v>1</v>
      </c>
      <c r="N31" s="112">
        <v>0</v>
      </c>
      <c r="O31" s="112">
        <v>0</v>
      </c>
      <c r="P31" s="112" t="s">
        <v>1102</v>
      </c>
      <c r="Q31" s="112"/>
      <c r="R31" s="70"/>
    </row>
    <row r="32" spans="1:18" s="69" customFormat="1" ht="20.25" customHeight="1" x14ac:dyDescent="0.2">
      <c r="A32" s="115" t="s">
        <v>754</v>
      </c>
      <c r="B32" s="115" t="s">
        <v>756</v>
      </c>
      <c r="C32" s="116" t="s">
        <v>755</v>
      </c>
      <c r="D32" s="115" t="s">
        <v>16</v>
      </c>
      <c r="E32" s="115" t="s">
        <v>1099</v>
      </c>
      <c r="F32" s="117">
        <v>600</v>
      </c>
      <c r="G32" s="115">
        <v>2040</v>
      </c>
      <c r="H32" s="115" t="s">
        <v>1101</v>
      </c>
      <c r="I32" s="115" t="s">
        <v>754</v>
      </c>
      <c r="J32" s="116" t="s">
        <v>753</v>
      </c>
      <c r="K32" s="115" t="s">
        <v>13</v>
      </c>
      <c r="L32" s="116" t="s">
        <v>6</v>
      </c>
      <c r="M32" s="115">
        <v>1</v>
      </c>
      <c r="N32" s="115">
        <v>0</v>
      </c>
      <c r="O32" s="115">
        <v>0</v>
      </c>
      <c r="P32" s="115" t="s">
        <v>1103</v>
      </c>
      <c r="Q32" s="115"/>
      <c r="R32" s="70"/>
    </row>
    <row r="33" spans="1:18" s="69" customFormat="1" ht="20.25" customHeight="1" x14ac:dyDescent="0.2">
      <c r="A33" s="112" t="s">
        <v>750</v>
      </c>
      <c r="B33" s="112" t="s">
        <v>752</v>
      </c>
      <c r="C33" s="113" t="s">
        <v>751</v>
      </c>
      <c r="D33" s="112" t="s">
        <v>16</v>
      </c>
      <c r="E33" s="112" t="s">
        <v>1104</v>
      </c>
      <c r="F33" s="114">
        <v>80</v>
      </c>
      <c r="G33" s="112">
        <v>7860</v>
      </c>
      <c r="H33" s="112" t="s">
        <v>1105</v>
      </c>
      <c r="I33" s="112" t="s">
        <v>750</v>
      </c>
      <c r="J33" s="113" t="s">
        <v>749</v>
      </c>
      <c r="K33" s="112" t="s">
        <v>13</v>
      </c>
      <c r="L33" s="113" t="s">
        <v>6</v>
      </c>
      <c r="M33" s="112">
        <v>1</v>
      </c>
      <c r="N33" s="112">
        <v>0</v>
      </c>
      <c r="O33" s="112">
        <v>0</v>
      </c>
      <c r="P33" s="112" t="s">
        <v>1106</v>
      </c>
      <c r="Q33" s="112"/>
      <c r="R33" s="70"/>
    </row>
    <row r="34" spans="1:18" s="69" customFormat="1" ht="20.25" customHeight="1" x14ac:dyDescent="0.2">
      <c r="A34" s="115" t="s">
        <v>1107</v>
      </c>
      <c r="B34" s="115" t="s">
        <v>422</v>
      </c>
      <c r="C34" s="116" t="s">
        <v>421</v>
      </c>
      <c r="D34" s="115" t="s">
        <v>16</v>
      </c>
      <c r="E34" s="115" t="s">
        <v>1108</v>
      </c>
      <c r="F34" s="117">
        <v>627</v>
      </c>
      <c r="G34" s="115">
        <v>2040</v>
      </c>
      <c r="H34" s="115" t="s">
        <v>1050</v>
      </c>
      <c r="I34" s="115" t="s">
        <v>1107</v>
      </c>
      <c r="J34" s="116" t="s">
        <v>420</v>
      </c>
      <c r="K34" s="115" t="s">
        <v>13</v>
      </c>
      <c r="L34" s="116" t="s">
        <v>6</v>
      </c>
      <c r="M34" s="115">
        <v>1</v>
      </c>
      <c r="N34" s="115">
        <v>0</v>
      </c>
      <c r="O34" s="115">
        <v>0</v>
      </c>
      <c r="P34" s="115" t="s">
        <v>1109</v>
      </c>
      <c r="Q34" s="115"/>
      <c r="R34" s="70"/>
    </row>
    <row r="35" spans="1:18" s="69" customFormat="1" ht="20.25" customHeight="1" x14ac:dyDescent="0.2">
      <c r="A35" s="112" t="s">
        <v>982</v>
      </c>
      <c r="B35" s="112" t="s">
        <v>983</v>
      </c>
      <c r="C35" s="113" t="s">
        <v>984</v>
      </c>
      <c r="D35" s="112" t="s">
        <v>16</v>
      </c>
      <c r="E35" s="112" t="s">
        <v>1110</v>
      </c>
      <c r="F35" s="114" t="s">
        <v>1087</v>
      </c>
      <c r="G35" s="112">
        <v>9042</v>
      </c>
      <c r="H35" s="112" t="s">
        <v>34</v>
      </c>
      <c r="I35" s="112" t="s">
        <v>982</v>
      </c>
      <c r="J35" s="113" t="s">
        <v>985</v>
      </c>
      <c r="K35" s="112" t="s">
        <v>13</v>
      </c>
      <c r="L35" s="113" t="s">
        <v>6</v>
      </c>
      <c r="M35" s="112">
        <v>1</v>
      </c>
      <c r="N35" s="112">
        <v>0</v>
      </c>
      <c r="O35" s="112">
        <v>0</v>
      </c>
      <c r="P35" s="112" t="s">
        <v>1111</v>
      </c>
      <c r="Q35" s="112"/>
      <c r="R35" s="70"/>
    </row>
    <row r="36" spans="1:18" s="69" customFormat="1" ht="20.25" customHeight="1" x14ac:dyDescent="0.2">
      <c r="A36" s="115" t="s">
        <v>746</v>
      </c>
      <c r="B36" s="115" t="s">
        <v>748</v>
      </c>
      <c r="C36" s="116" t="s">
        <v>747</v>
      </c>
      <c r="D36" s="115" t="s">
        <v>16</v>
      </c>
      <c r="E36" s="115" t="s">
        <v>1112</v>
      </c>
      <c r="F36" s="117">
        <v>40</v>
      </c>
      <c r="G36" s="115">
        <v>5030</v>
      </c>
      <c r="H36" s="115" t="s">
        <v>1113</v>
      </c>
      <c r="I36" s="115" t="s">
        <v>746</v>
      </c>
      <c r="J36" s="116" t="s">
        <v>745</v>
      </c>
      <c r="K36" s="115" t="s">
        <v>13</v>
      </c>
      <c r="L36" s="116" t="s">
        <v>6</v>
      </c>
      <c r="M36" s="115">
        <v>1</v>
      </c>
      <c r="N36" s="115">
        <v>1</v>
      </c>
      <c r="O36" s="115">
        <v>1</v>
      </c>
      <c r="P36" s="115" t="s">
        <v>1114</v>
      </c>
      <c r="Q36" s="115" t="s">
        <v>1115</v>
      </c>
      <c r="R36" s="70"/>
    </row>
    <row r="37" spans="1:18" s="69" customFormat="1" ht="20.25" customHeight="1" x14ac:dyDescent="0.2">
      <c r="A37" s="112" t="s">
        <v>734</v>
      </c>
      <c r="B37" s="112" t="s">
        <v>736</v>
      </c>
      <c r="C37" s="113" t="s">
        <v>735</v>
      </c>
      <c r="D37" s="112" t="s">
        <v>16</v>
      </c>
      <c r="E37" s="112" t="s">
        <v>1122</v>
      </c>
      <c r="F37" s="114">
        <v>100</v>
      </c>
      <c r="G37" s="112">
        <v>7330</v>
      </c>
      <c r="H37" s="112" t="s">
        <v>1123</v>
      </c>
      <c r="I37" s="112" t="s">
        <v>734</v>
      </c>
      <c r="J37" s="113" t="s">
        <v>733</v>
      </c>
      <c r="K37" s="112" t="s">
        <v>13</v>
      </c>
      <c r="L37" s="113" t="s">
        <v>6</v>
      </c>
      <c r="M37" s="112">
        <v>1</v>
      </c>
      <c r="N37" s="112">
        <v>1</v>
      </c>
      <c r="O37" s="112">
        <v>1</v>
      </c>
      <c r="P37" s="112" t="s">
        <v>1124</v>
      </c>
      <c r="Q37" s="112"/>
      <c r="R37" s="70"/>
    </row>
    <row r="38" spans="1:18" s="69" customFormat="1" ht="20.25" customHeight="1" x14ac:dyDescent="0.2">
      <c r="A38" s="115" t="s">
        <v>730</v>
      </c>
      <c r="B38" s="115" t="s">
        <v>732</v>
      </c>
      <c r="C38" s="116" t="s">
        <v>731</v>
      </c>
      <c r="D38" s="115" t="s">
        <v>16</v>
      </c>
      <c r="E38" s="115" t="s">
        <v>1125</v>
      </c>
      <c r="F38" s="117">
        <v>11</v>
      </c>
      <c r="G38" s="115">
        <v>4520</v>
      </c>
      <c r="H38" s="115" t="s">
        <v>1126</v>
      </c>
      <c r="I38" s="115" t="s">
        <v>730</v>
      </c>
      <c r="J38" s="116" t="s">
        <v>729</v>
      </c>
      <c r="K38" s="115" t="s">
        <v>13</v>
      </c>
      <c r="L38" s="116" t="s">
        <v>6</v>
      </c>
      <c r="M38" s="115">
        <v>1</v>
      </c>
      <c r="N38" s="115">
        <v>0</v>
      </c>
      <c r="O38" s="115">
        <v>0</v>
      </c>
      <c r="P38" s="115" t="s">
        <v>1127</v>
      </c>
      <c r="Q38" s="115"/>
      <c r="R38" s="70"/>
    </row>
    <row r="39" spans="1:18" s="69" customFormat="1" ht="20.25" customHeight="1" x14ac:dyDescent="0.2">
      <c r="A39" s="112" t="s">
        <v>726</v>
      </c>
      <c r="B39" s="112" t="s">
        <v>728</v>
      </c>
      <c r="C39" s="113" t="s">
        <v>727</v>
      </c>
      <c r="D39" s="112" t="s">
        <v>16</v>
      </c>
      <c r="E39" s="112" t="s">
        <v>1128</v>
      </c>
      <c r="F39" s="114">
        <v>118</v>
      </c>
      <c r="G39" s="112">
        <v>3300</v>
      </c>
      <c r="H39" s="112" t="s">
        <v>1129</v>
      </c>
      <c r="I39" s="112" t="s">
        <v>726</v>
      </c>
      <c r="J39" s="113" t="s">
        <v>725</v>
      </c>
      <c r="K39" s="112" t="s">
        <v>13</v>
      </c>
      <c r="L39" s="113" t="s">
        <v>19</v>
      </c>
      <c r="M39" s="112">
        <v>1</v>
      </c>
      <c r="N39" s="112">
        <v>1</v>
      </c>
      <c r="O39" s="112">
        <v>1</v>
      </c>
      <c r="P39" s="112" t="s">
        <v>1130</v>
      </c>
      <c r="Q39" s="112"/>
      <c r="R39" s="70"/>
    </row>
    <row r="40" spans="1:18" s="69" customFormat="1" ht="20.25" customHeight="1" x14ac:dyDescent="0.2">
      <c r="A40" s="115" t="s">
        <v>1131</v>
      </c>
      <c r="B40" s="115" t="s">
        <v>696</v>
      </c>
      <c r="C40" s="116" t="s">
        <v>695</v>
      </c>
      <c r="D40" s="115" t="s">
        <v>16</v>
      </c>
      <c r="E40" s="115" t="s">
        <v>1132</v>
      </c>
      <c r="F40" s="117">
        <v>155</v>
      </c>
      <c r="G40" s="115">
        <v>3020</v>
      </c>
      <c r="H40" s="115" t="s">
        <v>1133</v>
      </c>
      <c r="I40" s="115" t="s">
        <v>1131</v>
      </c>
      <c r="J40" s="116" t="s">
        <v>694</v>
      </c>
      <c r="K40" s="115" t="s">
        <v>13</v>
      </c>
      <c r="L40" s="116" t="s">
        <v>19</v>
      </c>
      <c r="M40" s="115">
        <v>1</v>
      </c>
      <c r="N40" s="115">
        <v>0</v>
      </c>
      <c r="O40" s="115">
        <v>0</v>
      </c>
      <c r="P40" s="115" t="s">
        <v>1134</v>
      </c>
      <c r="Q40" s="115"/>
      <c r="R40" s="70"/>
    </row>
    <row r="41" spans="1:18" s="69" customFormat="1" ht="20.25" customHeight="1" x14ac:dyDescent="0.2">
      <c r="A41" s="112" t="s">
        <v>722</v>
      </c>
      <c r="B41" s="112" t="s">
        <v>724</v>
      </c>
      <c r="C41" s="113" t="s">
        <v>723</v>
      </c>
      <c r="D41" s="112" t="s">
        <v>16</v>
      </c>
      <c r="E41" s="112" t="s">
        <v>1135</v>
      </c>
      <c r="F41" s="114">
        <v>2</v>
      </c>
      <c r="G41" s="112">
        <v>9130</v>
      </c>
      <c r="H41" s="112" t="s">
        <v>1120</v>
      </c>
      <c r="I41" s="112" t="s">
        <v>722</v>
      </c>
      <c r="J41" s="113" t="s">
        <v>721</v>
      </c>
      <c r="K41" s="112" t="s">
        <v>13</v>
      </c>
      <c r="L41" s="113" t="s">
        <v>6</v>
      </c>
      <c r="M41" s="112">
        <v>1</v>
      </c>
      <c r="N41" s="112">
        <v>0</v>
      </c>
      <c r="O41" s="112">
        <v>0</v>
      </c>
      <c r="P41" s="112" t="s">
        <v>1136</v>
      </c>
      <c r="Q41" s="112"/>
      <c r="R41" s="70"/>
    </row>
    <row r="42" spans="1:18" s="69" customFormat="1" ht="20.25" customHeight="1" x14ac:dyDescent="0.2">
      <c r="A42" s="115" t="s">
        <v>718</v>
      </c>
      <c r="B42" s="115" t="s">
        <v>720</v>
      </c>
      <c r="C42" s="116" t="s">
        <v>719</v>
      </c>
      <c r="D42" s="115" t="s">
        <v>16</v>
      </c>
      <c r="E42" s="115" t="s">
        <v>1137</v>
      </c>
      <c r="F42" s="117">
        <v>148</v>
      </c>
      <c r="G42" s="115">
        <v>3583</v>
      </c>
      <c r="H42" s="115" t="s">
        <v>1138</v>
      </c>
      <c r="I42" s="115" t="s">
        <v>718</v>
      </c>
      <c r="J42" s="116" t="s">
        <v>717</v>
      </c>
      <c r="K42" s="115" t="s">
        <v>13</v>
      </c>
      <c r="L42" s="116" t="s">
        <v>6</v>
      </c>
      <c r="M42" s="115">
        <v>1</v>
      </c>
      <c r="N42" s="115">
        <v>0</v>
      </c>
      <c r="O42" s="115">
        <v>0</v>
      </c>
      <c r="P42" s="115" t="s">
        <v>1139</v>
      </c>
      <c r="Q42" s="115" t="s">
        <v>1045</v>
      </c>
      <c r="R42" s="70"/>
    </row>
    <row r="43" spans="1:18" s="69" customFormat="1" ht="20.25" customHeight="1" x14ac:dyDescent="0.2">
      <c r="A43" s="115" t="s">
        <v>711</v>
      </c>
      <c r="B43" s="115" t="s">
        <v>713</v>
      </c>
      <c r="C43" s="116" t="s">
        <v>712</v>
      </c>
      <c r="D43" s="115" t="s">
        <v>16</v>
      </c>
      <c r="E43" s="115" t="s">
        <v>1140</v>
      </c>
      <c r="F43" s="117" t="s">
        <v>1025</v>
      </c>
      <c r="G43" s="115">
        <v>1930</v>
      </c>
      <c r="H43" s="115" t="s">
        <v>1141</v>
      </c>
      <c r="I43" s="115" t="s">
        <v>711</v>
      </c>
      <c r="J43" s="116" t="s">
        <v>710</v>
      </c>
      <c r="K43" s="115" t="s">
        <v>13</v>
      </c>
      <c r="L43" s="116" t="s">
        <v>6</v>
      </c>
      <c r="M43" s="115">
        <v>1</v>
      </c>
      <c r="N43" s="115">
        <v>1</v>
      </c>
      <c r="O43" s="115">
        <v>1</v>
      </c>
      <c r="P43" s="115" t="s">
        <v>1142</v>
      </c>
      <c r="Q43" s="115" t="s">
        <v>1610</v>
      </c>
      <c r="R43" s="70"/>
    </row>
    <row r="44" spans="1:18" s="69" customFormat="1" ht="20.25" customHeight="1" x14ac:dyDescent="0.2">
      <c r="A44" s="112" t="s">
        <v>707</v>
      </c>
      <c r="B44" s="112" t="s">
        <v>709</v>
      </c>
      <c r="C44" s="113" t="s">
        <v>708</v>
      </c>
      <c r="D44" s="112" t="s">
        <v>16</v>
      </c>
      <c r="E44" s="112" t="s">
        <v>1143</v>
      </c>
      <c r="F44" s="114">
        <v>1</v>
      </c>
      <c r="G44" s="112">
        <v>6760</v>
      </c>
      <c r="H44" s="112" t="s">
        <v>1144</v>
      </c>
      <c r="I44" s="112" t="s">
        <v>707</v>
      </c>
      <c r="J44" s="113" t="s">
        <v>706</v>
      </c>
      <c r="K44" s="112" t="s">
        <v>13</v>
      </c>
      <c r="L44" s="113" t="s">
        <v>6</v>
      </c>
      <c r="M44" s="112">
        <v>1</v>
      </c>
      <c r="N44" s="112">
        <v>0</v>
      </c>
      <c r="O44" s="112">
        <v>0</v>
      </c>
      <c r="P44" s="112" t="s">
        <v>1145</v>
      </c>
      <c r="Q44" s="112"/>
      <c r="R44" s="70"/>
    </row>
    <row r="45" spans="1:18" s="69" customFormat="1" ht="20.25" customHeight="1" x14ac:dyDescent="0.2">
      <c r="A45" s="115" t="s">
        <v>703</v>
      </c>
      <c r="B45" s="115" t="s">
        <v>705</v>
      </c>
      <c r="C45" s="116" t="s">
        <v>704</v>
      </c>
      <c r="D45" s="115" t="s">
        <v>16</v>
      </c>
      <c r="E45" s="115" t="s">
        <v>1146</v>
      </c>
      <c r="F45" s="117">
        <v>17</v>
      </c>
      <c r="G45" s="115">
        <v>2070</v>
      </c>
      <c r="H45" s="115" t="s">
        <v>1029</v>
      </c>
      <c r="I45" s="115" t="s">
        <v>703</v>
      </c>
      <c r="J45" s="116" t="s">
        <v>702</v>
      </c>
      <c r="K45" s="115" t="s">
        <v>13</v>
      </c>
      <c r="L45" s="116" t="s">
        <v>6</v>
      </c>
      <c r="M45" s="115">
        <v>1</v>
      </c>
      <c r="N45" s="115">
        <v>0</v>
      </c>
      <c r="O45" s="115">
        <v>0</v>
      </c>
      <c r="P45" s="115" t="s">
        <v>1147</v>
      </c>
      <c r="Q45" s="115"/>
      <c r="R45" s="70"/>
    </row>
    <row r="46" spans="1:18" s="69" customFormat="1" ht="20.25" customHeight="1" x14ac:dyDescent="0.2">
      <c r="A46" s="112" t="s">
        <v>701</v>
      </c>
      <c r="B46" s="112" t="s">
        <v>700</v>
      </c>
      <c r="C46" s="113" t="s">
        <v>699</v>
      </c>
      <c r="D46" s="112" t="s">
        <v>16</v>
      </c>
      <c r="E46" s="112" t="s">
        <v>1148</v>
      </c>
      <c r="F46" s="114">
        <v>1</v>
      </c>
      <c r="G46" s="112">
        <v>9042</v>
      </c>
      <c r="H46" s="112" t="s">
        <v>34</v>
      </c>
      <c r="I46" s="112" t="s">
        <v>698</v>
      </c>
      <c r="J46" s="113" t="s">
        <v>697</v>
      </c>
      <c r="K46" s="112" t="s">
        <v>13</v>
      </c>
      <c r="L46" s="113" t="s">
        <v>6</v>
      </c>
      <c r="M46" s="112">
        <v>1</v>
      </c>
      <c r="N46" s="112">
        <v>0</v>
      </c>
      <c r="O46" s="112">
        <v>0</v>
      </c>
      <c r="P46" s="112" t="s">
        <v>1149</v>
      </c>
      <c r="Q46" s="112"/>
      <c r="R46" s="70"/>
    </row>
    <row r="47" spans="1:18" s="69" customFormat="1" ht="20.25" customHeight="1" x14ac:dyDescent="0.2">
      <c r="A47" s="115" t="s">
        <v>691</v>
      </c>
      <c r="B47" s="115" t="s">
        <v>693</v>
      </c>
      <c r="C47" s="116" t="s">
        <v>692</v>
      </c>
      <c r="D47" s="115" t="s">
        <v>16</v>
      </c>
      <c r="E47" s="115" t="s">
        <v>1150</v>
      </c>
      <c r="F47" s="117">
        <v>43</v>
      </c>
      <c r="G47" s="115">
        <v>2030</v>
      </c>
      <c r="H47" s="115" t="s">
        <v>1096</v>
      </c>
      <c r="I47" s="115" t="s">
        <v>691</v>
      </c>
      <c r="J47" s="116" t="s">
        <v>690</v>
      </c>
      <c r="K47" s="115" t="s">
        <v>13</v>
      </c>
      <c r="L47" s="116" t="s">
        <v>6</v>
      </c>
      <c r="M47" s="115">
        <v>1</v>
      </c>
      <c r="N47" s="115">
        <v>0</v>
      </c>
      <c r="O47" s="115">
        <v>0</v>
      </c>
      <c r="P47" s="115" t="s">
        <v>1151</v>
      </c>
      <c r="Q47" s="115" t="s">
        <v>1611</v>
      </c>
      <c r="R47" s="70"/>
    </row>
    <row r="48" spans="1:18" s="69" customFormat="1" ht="20.25" customHeight="1" x14ac:dyDescent="0.2">
      <c r="A48" s="112" t="s">
        <v>687</v>
      </c>
      <c r="B48" s="112" t="s">
        <v>689</v>
      </c>
      <c r="C48" s="113" t="s">
        <v>688</v>
      </c>
      <c r="D48" s="112" t="s">
        <v>16</v>
      </c>
      <c r="E48" s="112" t="s">
        <v>1152</v>
      </c>
      <c r="F48" s="114">
        <v>1</v>
      </c>
      <c r="G48" s="112">
        <v>5070</v>
      </c>
      <c r="H48" s="112" t="s">
        <v>1153</v>
      </c>
      <c r="I48" s="112" t="s">
        <v>687</v>
      </c>
      <c r="J48" s="113" t="s">
        <v>686</v>
      </c>
      <c r="K48" s="112" t="s">
        <v>13</v>
      </c>
      <c r="L48" s="113" t="s">
        <v>6</v>
      </c>
      <c r="M48" s="112">
        <v>1</v>
      </c>
      <c r="N48" s="112">
        <v>1</v>
      </c>
      <c r="O48" s="112">
        <v>0</v>
      </c>
      <c r="P48" s="112" t="s">
        <v>1154</v>
      </c>
      <c r="Q48" s="112"/>
      <c r="R48" s="70"/>
    </row>
    <row r="49" spans="1:18" s="69" customFormat="1" ht="20.25" customHeight="1" x14ac:dyDescent="0.2">
      <c r="A49" s="115" t="s">
        <v>683</v>
      </c>
      <c r="B49" s="115" t="s">
        <v>685</v>
      </c>
      <c r="C49" s="116" t="s">
        <v>684</v>
      </c>
      <c r="D49" s="115" t="s">
        <v>16</v>
      </c>
      <c r="E49" s="115" t="s">
        <v>1155</v>
      </c>
      <c r="F49" s="117" t="s">
        <v>1025</v>
      </c>
      <c r="G49" s="115">
        <v>4480</v>
      </c>
      <c r="H49" s="115" t="s">
        <v>1156</v>
      </c>
      <c r="I49" s="115" t="s">
        <v>683</v>
      </c>
      <c r="J49" s="116" t="s">
        <v>682</v>
      </c>
      <c r="K49" s="115" t="s">
        <v>13</v>
      </c>
      <c r="L49" s="116" t="s">
        <v>6</v>
      </c>
      <c r="M49" s="115">
        <v>1</v>
      </c>
      <c r="N49" s="115">
        <v>0</v>
      </c>
      <c r="O49" s="115">
        <v>0</v>
      </c>
      <c r="P49" s="115" t="s">
        <v>1157</v>
      </c>
      <c r="Q49" s="115"/>
      <c r="R49" s="70"/>
    </row>
    <row r="50" spans="1:18" s="69" customFormat="1" ht="20.25" customHeight="1" x14ac:dyDescent="0.2">
      <c r="A50" s="112" t="s">
        <v>679</v>
      </c>
      <c r="B50" s="112" t="s">
        <v>681</v>
      </c>
      <c r="C50" s="113" t="s">
        <v>680</v>
      </c>
      <c r="D50" s="112" t="s">
        <v>16</v>
      </c>
      <c r="E50" s="112" t="s">
        <v>1158</v>
      </c>
      <c r="F50" s="114" t="s">
        <v>1025</v>
      </c>
      <c r="G50" s="112">
        <v>5300</v>
      </c>
      <c r="H50" s="112" t="s">
        <v>1159</v>
      </c>
      <c r="I50" s="112" t="s">
        <v>679</v>
      </c>
      <c r="J50" s="113" t="s">
        <v>678</v>
      </c>
      <c r="K50" s="112" t="s">
        <v>13</v>
      </c>
      <c r="L50" s="113" t="s">
        <v>6</v>
      </c>
      <c r="M50" s="112">
        <v>1</v>
      </c>
      <c r="N50" s="112">
        <v>1</v>
      </c>
      <c r="O50" s="112">
        <v>1</v>
      </c>
      <c r="P50" s="112" t="s">
        <v>1160</v>
      </c>
      <c r="Q50" s="112"/>
      <c r="R50" s="70"/>
    </row>
    <row r="51" spans="1:18" s="69" customFormat="1" ht="20.25" customHeight="1" x14ac:dyDescent="0.2">
      <c r="A51" s="115" t="s">
        <v>675</v>
      </c>
      <c r="B51" s="115" t="s">
        <v>677</v>
      </c>
      <c r="C51" s="116" t="s">
        <v>676</v>
      </c>
      <c r="D51" s="115" t="s">
        <v>16</v>
      </c>
      <c r="E51" s="115" t="s">
        <v>1161</v>
      </c>
      <c r="F51" s="117" t="s">
        <v>1025</v>
      </c>
      <c r="G51" s="115">
        <v>4520</v>
      </c>
      <c r="H51" s="115" t="s">
        <v>1162</v>
      </c>
      <c r="I51" s="115" t="s">
        <v>675</v>
      </c>
      <c r="J51" s="116" t="s">
        <v>674</v>
      </c>
      <c r="K51" s="115" t="s">
        <v>13</v>
      </c>
      <c r="L51" s="116" t="s">
        <v>6</v>
      </c>
      <c r="M51" s="115">
        <v>1</v>
      </c>
      <c r="N51" s="115">
        <v>1</v>
      </c>
      <c r="O51" s="115">
        <v>1</v>
      </c>
      <c r="P51" s="115" t="s">
        <v>1163</v>
      </c>
      <c r="Q51" s="115"/>
      <c r="R51" s="70"/>
    </row>
    <row r="52" spans="1:18" s="69" customFormat="1" ht="20.25" customHeight="1" x14ac:dyDescent="0.2">
      <c r="A52" s="112" t="s">
        <v>668</v>
      </c>
      <c r="B52" s="112" t="s">
        <v>670</v>
      </c>
      <c r="C52" s="113" t="s">
        <v>669</v>
      </c>
      <c r="D52" s="112" t="s">
        <v>16</v>
      </c>
      <c r="E52" s="112" t="s">
        <v>1164</v>
      </c>
      <c r="F52" s="114">
        <v>3</v>
      </c>
      <c r="G52" s="112">
        <v>9042</v>
      </c>
      <c r="H52" s="112" t="s">
        <v>1165</v>
      </c>
      <c r="I52" s="112" t="s">
        <v>668</v>
      </c>
      <c r="J52" s="113" t="s">
        <v>667</v>
      </c>
      <c r="K52" s="112" t="s">
        <v>13</v>
      </c>
      <c r="L52" s="113" t="s">
        <v>6</v>
      </c>
      <c r="M52" s="112">
        <v>1</v>
      </c>
      <c r="N52" s="112">
        <v>0</v>
      </c>
      <c r="O52" s="112">
        <v>0</v>
      </c>
      <c r="P52" s="112" t="s">
        <v>1166</v>
      </c>
      <c r="Q52" s="112"/>
      <c r="R52" s="70"/>
    </row>
    <row r="53" spans="1:18" s="69" customFormat="1" ht="20.25" customHeight="1" x14ac:dyDescent="0.2">
      <c r="A53" s="115" t="s">
        <v>664</v>
      </c>
      <c r="B53" s="115" t="s">
        <v>666</v>
      </c>
      <c r="C53" s="116" t="s">
        <v>665</v>
      </c>
      <c r="D53" s="115" t="s">
        <v>16</v>
      </c>
      <c r="E53" s="115" t="s">
        <v>1167</v>
      </c>
      <c r="F53" s="117" t="s">
        <v>1025</v>
      </c>
      <c r="G53" s="115">
        <v>4600</v>
      </c>
      <c r="H53" s="115" t="s">
        <v>1168</v>
      </c>
      <c r="I53" s="115" t="s">
        <v>664</v>
      </c>
      <c r="J53" s="116" t="s">
        <v>663</v>
      </c>
      <c r="K53" s="115" t="s">
        <v>13</v>
      </c>
      <c r="L53" s="116" t="s">
        <v>6</v>
      </c>
      <c r="M53" s="115">
        <v>1</v>
      </c>
      <c r="N53" s="115">
        <v>0</v>
      </c>
      <c r="O53" s="115">
        <v>0</v>
      </c>
      <c r="P53" s="115" t="s">
        <v>1169</v>
      </c>
      <c r="Q53" s="115"/>
      <c r="R53" s="70"/>
    </row>
    <row r="54" spans="1:18" s="69" customFormat="1" ht="20.25" customHeight="1" x14ac:dyDescent="0.2">
      <c r="A54" s="112" t="s">
        <v>660</v>
      </c>
      <c r="B54" s="112" t="s">
        <v>662</v>
      </c>
      <c r="C54" s="113" t="s">
        <v>661</v>
      </c>
      <c r="D54" s="112" t="s">
        <v>16</v>
      </c>
      <c r="E54" s="112" t="s">
        <v>1137</v>
      </c>
      <c r="F54" s="114">
        <v>80</v>
      </c>
      <c r="G54" s="112">
        <v>3620</v>
      </c>
      <c r="H54" s="112" t="s">
        <v>1170</v>
      </c>
      <c r="I54" s="112" t="s">
        <v>660</v>
      </c>
      <c r="J54" s="113" t="s">
        <v>659</v>
      </c>
      <c r="K54" s="112" t="s">
        <v>13</v>
      </c>
      <c r="L54" s="113" t="s">
        <v>6</v>
      </c>
      <c r="M54" s="112">
        <v>1</v>
      </c>
      <c r="N54" s="112">
        <v>0</v>
      </c>
      <c r="O54" s="112">
        <v>0</v>
      </c>
      <c r="P54" s="112" t="s">
        <v>1171</v>
      </c>
      <c r="Q54" s="112"/>
      <c r="R54" s="70"/>
    </row>
    <row r="55" spans="1:18" s="69" customFormat="1" ht="20.25" customHeight="1" x14ac:dyDescent="0.2">
      <c r="A55" s="115" t="s">
        <v>658</v>
      </c>
      <c r="B55" s="115" t="s">
        <v>657</v>
      </c>
      <c r="C55" s="116" t="s">
        <v>656</v>
      </c>
      <c r="D55" s="115" t="s">
        <v>16</v>
      </c>
      <c r="E55" s="115" t="s">
        <v>1172</v>
      </c>
      <c r="F55" s="117" t="s">
        <v>1025</v>
      </c>
      <c r="G55" s="115">
        <v>7181</v>
      </c>
      <c r="H55" s="115" t="s">
        <v>1173</v>
      </c>
      <c r="I55" s="115" t="s">
        <v>658</v>
      </c>
      <c r="J55" s="116" t="s">
        <v>655</v>
      </c>
      <c r="K55" s="115" t="s">
        <v>13</v>
      </c>
      <c r="L55" s="116" t="s">
        <v>6</v>
      </c>
      <c r="M55" s="115">
        <v>1</v>
      </c>
      <c r="N55" s="115">
        <v>0</v>
      </c>
      <c r="O55" s="115">
        <v>0</v>
      </c>
      <c r="P55" s="115" t="s">
        <v>1174</v>
      </c>
      <c r="Q55" s="115"/>
      <c r="R55" s="70"/>
    </row>
    <row r="56" spans="1:18" s="69" customFormat="1" ht="20.25" customHeight="1" x14ac:dyDescent="0.2">
      <c r="A56" s="112" t="s">
        <v>654</v>
      </c>
      <c r="B56" s="112" t="s">
        <v>653</v>
      </c>
      <c r="C56" s="113" t="s">
        <v>652</v>
      </c>
      <c r="D56" s="112" t="s">
        <v>16</v>
      </c>
      <c r="E56" s="112" t="s">
        <v>1137</v>
      </c>
      <c r="F56" s="114">
        <v>154</v>
      </c>
      <c r="G56" s="112">
        <v>3583</v>
      </c>
      <c r="H56" s="112" t="s">
        <v>1175</v>
      </c>
      <c r="I56" s="112" t="s">
        <v>651</v>
      </c>
      <c r="J56" s="113" t="s">
        <v>650</v>
      </c>
      <c r="K56" s="112" t="s">
        <v>13</v>
      </c>
      <c r="L56" s="113" t="s">
        <v>6</v>
      </c>
      <c r="M56" s="112">
        <v>1</v>
      </c>
      <c r="N56" s="112">
        <v>0</v>
      </c>
      <c r="O56" s="112">
        <v>0</v>
      </c>
      <c r="P56" s="112" t="s">
        <v>1176</v>
      </c>
      <c r="Q56" s="112" t="s">
        <v>1045</v>
      </c>
      <c r="R56" s="70"/>
    </row>
    <row r="57" spans="1:18" s="69" customFormat="1" ht="20.25" customHeight="1" x14ac:dyDescent="0.2">
      <c r="A57" s="115" t="s">
        <v>647</v>
      </c>
      <c r="B57" s="115" t="s">
        <v>649</v>
      </c>
      <c r="C57" s="116" t="s">
        <v>648</v>
      </c>
      <c r="D57" s="115" t="s">
        <v>16</v>
      </c>
      <c r="E57" s="115" t="s">
        <v>1177</v>
      </c>
      <c r="F57" s="117">
        <v>5</v>
      </c>
      <c r="G57" s="115">
        <v>3980</v>
      </c>
      <c r="H57" s="115" t="s">
        <v>1178</v>
      </c>
      <c r="I57" s="115" t="s">
        <v>647</v>
      </c>
      <c r="J57" s="116" t="s">
        <v>646</v>
      </c>
      <c r="K57" s="115" t="s">
        <v>13</v>
      </c>
      <c r="L57" s="116" t="s">
        <v>19</v>
      </c>
      <c r="M57" s="115">
        <v>1</v>
      </c>
      <c r="N57" s="115">
        <v>0</v>
      </c>
      <c r="O57" s="115">
        <v>0</v>
      </c>
      <c r="P57" s="115" t="s">
        <v>1179</v>
      </c>
      <c r="Q57" s="115"/>
      <c r="R57" s="70"/>
    </row>
    <row r="58" spans="1:18" s="69" customFormat="1" ht="20.25" customHeight="1" x14ac:dyDescent="0.2">
      <c r="A58" s="112" t="s">
        <v>645</v>
      </c>
      <c r="B58" s="112" t="s">
        <v>644</v>
      </c>
      <c r="C58" s="113" t="s">
        <v>643</v>
      </c>
      <c r="D58" s="112" t="s">
        <v>16</v>
      </c>
      <c r="E58" s="112" t="s">
        <v>1180</v>
      </c>
      <c r="F58" s="114">
        <v>4</v>
      </c>
      <c r="G58" s="112">
        <v>9032</v>
      </c>
      <c r="H58" s="112" t="s">
        <v>1181</v>
      </c>
      <c r="I58" s="112" t="s">
        <v>642</v>
      </c>
      <c r="J58" s="113" t="s">
        <v>641</v>
      </c>
      <c r="K58" s="112" t="s">
        <v>13</v>
      </c>
      <c r="L58" s="113" t="s">
        <v>6</v>
      </c>
      <c r="M58" s="112">
        <v>1</v>
      </c>
      <c r="N58" s="112">
        <v>0</v>
      </c>
      <c r="O58" s="112">
        <v>1</v>
      </c>
      <c r="P58" s="112" t="s">
        <v>1182</v>
      </c>
      <c r="Q58" s="112"/>
      <c r="R58" s="70"/>
    </row>
    <row r="59" spans="1:18" s="69" customFormat="1" ht="20.25" customHeight="1" x14ac:dyDescent="0.2">
      <c r="A59" s="115" t="s">
        <v>638</v>
      </c>
      <c r="B59" s="115" t="s">
        <v>640</v>
      </c>
      <c r="C59" s="116" t="s">
        <v>639</v>
      </c>
      <c r="D59" s="115" t="s">
        <v>16</v>
      </c>
      <c r="E59" s="115" t="s">
        <v>1183</v>
      </c>
      <c r="F59" s="117">
        <v>9</v>
      </c>
      <c r="G59" s="115">
        <v>3600</v>
      </c>
      <c r="H59" s="115" t="s">
        <v>1077</v>
      </c>
      <c r="I59" s="115" t="s">
        <v>638</v>
      </c>
      <c r="J59" s="116" t="s">
        <v>637</v>
      </c>
      <c r="K59" s="115" t="s">
        <v>13</v>
      </c>
      <c r="L59" s="116" t="s">
        <v>6</v>
      </c>
      <c r="M59" s="115">
        <v>1</v>
      </c>
      <c r="N59" s="115">
        <v>1</v>
      </c>
      <c r="O59" s="115">
        <v>0</v>
      </c>
      <c r="P59" s="115" t="s">
        <v>1184</v>
      </c>
      <c r="Q59" s="115"/>
      <c r="R59" s="70"/>
    </row>
    <row r="60" spans="1:18" s="69" customFormat="1" ht="20.25" customHeight="1" x14ac:dyDescent="0.2">
      <c r="A60" s="112" t="s">
        <v>634</v>
      </c>
      <c r="B60" s="112" t="s">
        <v>636</v>
      </c>
      <c r="C60" s="113" t="s">
        <v>635</v>
      </c>
      <c r="D60" s="112" t="s">
        <v>16</v>
      </c>
      <c r="E60" s="112" t="s">
        <v>1128</v>
      </c>
      <c r="F60" s="114">
        <v>249</v>
      </c>
      <c r="G60" s="112">
        <v>3300</v>
      </c>
      <c r="H60" s="112" t="s">
        <v>1129</v>
      </c>
      <c r="I60" s="112" t="s">
        <v>634</v>
      </c>
      <c r="J60" s="113" t="s">
        <v>633</v>
      </c>
      <c r="K60" s="112" t="s">
        <v>13</v>
      </c>
      <c r="L60" s="113" t="s">
        <v>19</v>
      </c>
      <c r="M60" s="112">
        <v>1</v>
      </c>
      <c r="N60" s="112">
        <v>1</v>
      </c>
      <c r="O60" s="112">
        <v>1</v>
      </c>
      <c r="P60" s="112" t="s">
        <v>1185</v>
      </c>
      <c r="Q60" s="112"/>
      <c r="R60" s="70"/>
    </row>
    <row r="61" spans="1:18" s="69" customFormat="1" ht="20.25" customHeight="1" x14ac:dyDescent="0.2">
      <c r="A61" s="112" t="s">
        <v>627</v>
      </c>
      <c r="B61" s="112" t="s">
        <v>629</v>
      </c>
      <c r="C61" s="113" t="s">
        <v>628</v>
      </c>
      <c r="D61" s="112" t="s">
        <v>16</v>
      </c>
      <c r="E61" s="112" t="s">
        <v>1186</v>
      </c>
      <c r="F61" s="114">
        <v>32</v>
      </c>
      <c r="G61" s="112">
        <v>2030</v>
      </c>
      <c r="H61" s="112" t="s">
        <v>1096</v>
      </c>
      <c r="I61" s="112" t="s">
        <v>627</v>
      </c>
      <c r="J61" s="113" t="s">
        <v>626</v>
      </c>
      <c r="K61" s="112" t="s">
        <v>13</v>
      </c>
      <c r="L61" s="113" t="s">
        <v>6</v>
      </c>
      <c r="M61" s="112">
        <v>1</v>
      </c>
      <c r="N61" s="112">
        <v>0</v>
      </c>
      <c r="O61" s="112">
        <v>0</v>
      </c>
      <c r="P61" s="112" t="s">
        <v>1187</v>
      </c>
      <c r="Q61" s="112" t="s">
        <v>1611</v>
      </c>
      <c r="R61" s="70"/>
    </row>
    <row r="62" spans="1:18" s="69" customFormat="1" ht="20.25" customHeight="1" x14ac:dyDescent="0.2">
      <c r="A62" s="115" t="s">
        <v>623</v>
      </c>
      <c r="B62" s="115" t="s">
        <v>625</v>
      </c>
      <c r="C62" s="116" t="s">
        <v>624</v>
      </c>
      <c r="D62" s="115" t="s">
        <v>16</v>
      </c>
      <c r="E62" s="115" t="s">
        <v>1188</v>
      </c>
      <c r="F62" s="117">
        <v>811</v>
      </c>
      <c r="G62" s="115">
        <v>9000</v>
      </c>
      <c r="H62" s="115" t="s">
        <v>34</v>
      </c>
      <c r="I62" s="115" t="s">
        <v>623</v>
      </c>
      <c r="J62" s="116" t="s">
        <v>622</v>
      </c>
      <c r="K62" s="115" t="s">
        <v>13</v>
      </c>
      <c r="L62" s="116" t="s">
        <v>6</v>
      </c>
      <c r="M62" s="115">
        <v>1</v>
      </c>
      <c r="N62" s="115">
        <v>1</v>
      </c>
      <c r="O62" s="115">
        <v>1</v>
      </c>
      <c r="P62" s="115" t="s">
        <v>1189</v>
      </c>
      <c r="Q62" s="115"/>
      <c r="R62" s="70"/>
    </row>
    <row r="63" spans="1:18" s="69" customFormat="1" ht="20.25" customHeight="1" x14ac:dyDescent="0.2">
      <c r="A63" s="112" t="s">
        <v>619</v>
      </c>
      <c r="B63" s="112" t="s">
        <v>621</v>
      </c>
      <c r="C63" s="113" t="s">
        <v>620</v>
      </c>
      <c r="D63" s="112" t="s">
        <v>16</v>
      </c>
      <c r="E63" s="112" t="s">
        <v>1190</v>
      </c>
      <c r="F63" s="114">
        <v>4</v>
      </c>
      <c r="G63" s="112">
        <v>9032</v>
      </c>
      <c r="H63" s="112" t="s">
        <v>1181</v>
      </c>
      <c r="I63" s="112" t="s">
        <v>619</v>
      </c>
      <c r="J63" s="113" t="s">
        <v>618</v>
      </c>
      <c r="K63" s="112" t="s">
        <v>13</v>
      </c>
      <c r="L63" s="113" t="s">
        <v>6</v>
      </c>
      <c r="M63" s="112">
        <v>1</v>
      </c>
      <c r="N63" s="112">
        <v>0</v>
      </c>
      <c r="O63" s="112">
        <v>1</v>
      </c>
      <c r="P63" s="112" t="s">
        <v>1191</v>
      </c>
      <c r="Q63" s="112"/>
      <c r="R63" s="70"/>
    </row>
    <row r="64" spans="1:18" s="69" customFormat="1" ht="20.25" customHeight="1" x14ac:dyDescent="0.2">
      <c r="A64" s="115" t="s">
        <v>615</v>
      </c>
      <c r="B64" s="115" t="s">
        <v>617</v>
      </c>
      <c r="C64" s="116" t="s">
        <v>616</v>
      </c>
      <c r="D64" s="115" t="s">
        <v>16</v>
      </c>
      <c r="E64" s="115" t="s">
        <v>1192</v>
      </c>
      <c r="F64" s="117">
        <v>1</v>
      </c>
      <c r="G64" s="115">
        <v>2260</v>
      </c>
      <c r="H64" s="115" t="s">
        <v>1193</v>
      </c>
      <c r="I64" s="115" t="s">
        <v>615</v>
      </c>
      <c r="J64" s="116" t="s">
        <v>614</v>
      </c>
      <c r="K64" s="115" t="s">
        <v>13</v>
      </c>
      <c r="L64" s="116" t="s">
        <v>6</v>
      </c>
      <c r="M64" s="115">
        <v>1</v>
      </c>
      <c r="N64" s="115">
        <v>0</v>
      </c>
      <c r="O64" s="115">
        <v>0</v>
      </c>
      <c r="P64" s="115" t="s">
        <v>1194</v>
      </c>
      <c r="Q64" s="115" t="s">
        <v>1045</v>
      </c>
      <c r="R64" s="70"/>
    </row>
    <row r="65" spans="1:18" s="69" customFormat="1" ht="20.25" customHeight="1" x14ac:dyDescent="0.2">
      <c r="A65" s="112" t="s">
        <v>611</v>
      </c>
      <c r="B65" s="112" t="s">
        <v>613</v>
      </c>
      <c r="C65" s="113" t="s">
        <v>612</v>
      </c>
      <c r="D65" s="112" t="s">
        <v>16</v>
      </c>
      <c r="E65" s="112" t="s">
        <v>1195</v>
      </c>
      <c r="F65" s="114">
        <v>100</v>
      </c>
      <c r="G65" s="112">
        <v>9000</v>
      </c>
      <c r="H65" s="112" t="s">
        <v>34</v>
      </c>
      <c r="I65" s="112" t="s">
        <v>611</v>
      </c>
      <c r="J65" s="113" t="s">
        <v>610</v>
      </c>
      <c r="K65" s="112" t="s">
        <v>13</v>
      </c>
      <c r="L65" s="113" t="s">
        <v>6</v>
      </c>
      <c r="M65" s="112">
        <v>1</v>
      </c>
      <c r="N65" s="112">
        <v>1</v>
      </c>
      <c r="O65" s="112">
        <v>1</v>
      </c>
      <c r="P65" s="112" t="s">
        <v>1196</v>
      </c>
      <c r="Q65" s="112"/>
      <c r="R65" s="70"/>
    </row>
    <row r="66" spans="1:18" s="69" customFormat="1" ht="20.25" customHeight="1" x14ac:dyDescent="0.2">
      <c r="A66" s="115" t="s">
        <v>607</v>
      </c>
      <c r="B66" s="115" t="s">
        <v>609</v>
      </c>
      <c r="C66" s="116" t="s">
        <v>608</v>
      </c>
      <c r="D66" s="115" t="s">
        <v>16</v>
      </c>
      <c r="E66" s="115" t="s">
        <v>1197</v>
      </c>
      <c r="F66" s="117" t="s">
        <v>1025</v>
      </c>
      <c r="G66" s="115">
        <v>1850</v>
      </c>
      <c r="H66" s="115" t="s">
        <v>1198</v>
      </c>
      <c r="I66" s="115" t="s">
        <v>607</v>
      </c>
      <c r="J66" s="116" t="s">
        <v>606</v>
      </c>
      <c r="K66" s="115" t="s">
        <v>13</v>
      </c>
      <c r="L66" s="113" t="s">
        <v>6</v>
      </c>
      <c r="M66" s="115">
        <v>1</v>
      </c>
      <c r="N66" s="115">
        <v>0</v>
      </c>
      <c r="O66" s="115">
        <v>0</v>
      </c>
      <c r="P66" s="115" t="s">
        <v>1199</v>
      </c>
      <c r="Q66" s="115" t="s">
        <v>1609</v>
      </c>
      <c r="R66" s="70"/>
    </row>
    <row r="67" spans="1:18" s="69" customFormat="1" ht="20.25" customHeight="1" x14ac:dyDescent="0.2">
      <c r="A67" s="112" t="s">
        <v>605</v>
      </c>
      <c r="B67" s="112" t="s">
        <v>604</v>
      </c>
      <c r="C67" s="113" t="s">
        <v>603</v>
      </c>
      <c r="D67" s="112" t="s">
        <v>16</v>
      </c>
      <c r="E67" s="112" t="s">
        <v>1200</v>
      </c>
      <c r="F67" s="114" t="s">
        <v>1025</v>
      </c>
      <c r="G67" s="112">
        <v>4480</v>
      </c>
      <c r="H67" s="112" t="s">
        <v>1156</v>
      </c>
      <c r="I67" s="112" t="s">
        <v>602</v>
      </c>
      <c r="J67" s="113" t="s">
        <v>601</v>
      </c>
      <c r="K67" s="112" t="s">
        <v>13</v>
      </c>
      <c r="L67" s="113" t="s">
        <v>6</v>
      </c>
      <c r="M67" s="112">
        <v>1</v>
      </c>
      <c r="N67" s="112">
        <v>0</v>
      </c>
      <c r="O67" s="112">
        <v>0</v>
      </c>
      <c r="P67" s="112" t="s">
        <v>1201</v>
      </c>
      <c r="Q67" s="112"/>
      <c r="R67" s="70"/>
    </row>
    <row r="68" spans="1:18" s="69" customFormat="1" ht="20.25" customHeight="1" x14ac:dyDescent="0.2">
      <c r="A68" s="115" t="s">
        <v>598</v>
      </c>
      <c r="B68" s="115" t="s">
        <v>600</v>
      </c>
      <c r="C68" s="116" t="s">
        <v>599</v>
      </c>
      <c r="D68" s="115" t="s">
        <v>16</v>
      </c>
      <c r="E68" s="115" t="s">
        <v>1202</v>
      </c>
      <c r="F68" s="117" t="s">
        <v>1203</v>
      </c>
      <c r="G68" s="115">
        <v>2600</v>
      </c>
      <c r="H68" s="115" t="s">
        <v>1204</v>
      </c>
      <c r="I68" s="115" t="s">
        <v>598</v>
      </c>
      <c r="J68" s="116" t="s">
        <v>597</v>
      </c>
      <c r="K68" s="115" t="s">
        <v>13</v>
      </c>
      <c r="L68" s="116" t="s">
        <v>6</v>
      </c>
      <c r="M68" s="115">
        <v>1</v>
      </c>
      <c r="N68" s="115">
        <v>0</v>
      </c>
      <c r="O68" s="115">
        <v>0</v>
      </c>
      <c r="P68" s="115" t="s">
        <v>1205</v>
      </c>
      <c r="Q68" s="115"/>
      <c r="R68" s="70"/>
    </row>
    <row r="69" spans="1:18" s="69" customFormat="1" ht="20.25" customHeight="1" x14ac:dyDescent="0.2">
      <c r="A69" s="162" t="s">
        <v>594</v>
      </c>
      <c r="B69" s="162" t="s">
        <v>596</v>
      </c>
      <c r="C69" s="163" t="s">
        <v>595</v>
      </c>
      <c r="D69" s="162" t="s">
        <v>16</v>
      </c>
      <c r="E69" s="162" t="s">
        <v>1206</v>
      </c>
      <c r="F69" s="164">
        <v>9</v>
      </c>
      <c r="G69" s="162">
        <v>7333</v>
      </c>
      <c r="H69" s="162" t="s">
        <v>1207</v>
      </c>
      <c r="I69" s="162" t="s">
        <v>594</v>
      </c>
      <c r="J69" s="163" t="s">
        <v>593</v>
      </c>
      <c r="K69" s="162" t="s">
        <v>13</v>
      </c>
      <c r="L69" s="163" t="s">
        <v>6</v>
      </c>
      <c r="M69" s="162">
        <v>1</v>
      </c>
      <c r="N69" s="162">
        <v>1</v>
      </c>
      <c r="O69" s="162">
        <v>1</v>
      </c>
      <c r="P69" s="162" t="s">
        <v>1208</v>
      </c>
      <c r="Q69" s="162"/>
      <c r="R69" s="70"/>
    </row>
    <row r="70" spans="1:18" s="69" customFormat="1" ht="20.25" customHeight="1" x14ac:dyDescent="0.2">
      <c r="A70" s="115" t="s">
        <v>1583</v>
      </c>
      <c r="B70" s="115" t="s">
        <v>592</v>
      </c>
      <c r="C70" s="116" t="s">
        <v>591</v>
      </c>
      <c r="D70" s="115" t="s">
        <v>16</v>
      </c>
      <c r="E70" s="115" t="s">
        <v>1209</v>
      </c>
      <c r="F70" s="117">
        <v>2</v>
      </c>
      <c r="G70" s="115">
        <v>4801</v>
      </c>
      <c r="H70" s="115" t="s">
        <v>1210</v>
      </c>
      <c r="I70" s="115" t="s">
        <v>590</v>
      </c>
      <c r="J70" s="116" t="s">
        <v>589</v>
      </c>
      <c r="K70" s="115" t="s">
        <v>13</v>
      </c>
      <c r="L70" s="116" t="s">
        <v>6</v>
      </c>
      <c r="M70" s="115">
        <v>1</v>
      </c>
      <c r="N70" s="115">
        <v>1</v>
      </c>
      <c r="O70" s="115">
        <v>1</v>
      </c>
      <c r="P70" s="115" t="s">
        <v>1211</v>
      </c>
      <c r="Q70" s="115"/>
      <c r="R70" s="70"/>
    </row>
    <row r="71" spans="1:18" s="69" customFormat="1" ht="20.25" customHeight="1" x14ac:dyDescent="0.2">
      <c r="A71" s="112" t="s">
        <v>586</v>
      </c>
      <c r="B71" s="112" t="s">
        <v>588</v>
      </c>
      <c r="C71" s="113" t="s">
        <v>587</v>
      </c>
      <c r="D71" s="112" t="s">
        <v>16</v>
      </c>
      <c r="E71" s="112" t="s">
        <v>1212</v>
      </c>
      <c r="F71" s="114">
        <v>31</v>
      </c>
      <c r="G71" s="112">
        <v>1880</v>
      </c>
      <c r="H71" s="112" t="s">
        <v>1213</v>
      </c>
      <c r="I71" s="112" t="s">
        <v>586</v>
      </c>
      <c r="J71" s="113" t="s">
        <v>585</v>
      </c>
      <c r="K71" s="112" t="s">
        <v>13</v>
      </c>
      <c r="L71" s="116" t="s">
        <v>6</v>
      </c>
      <c r="M71" s="112">
        <v>1</v>
      </c>
      <c r="N71" s="112">
        <v>0</v>
      </c>
      <c r="O71" s="112">
        <v>0</v>
      </c>
      <c r="P71" s="112" t="s">
        <v>1214</v>
      </c>
      <c r="Q71" s="115" t="s">
        <v>1609</v>
      </c>
      <c r="R71" s="70"/>
    </row>
    <row r="72" spans="1:18" s="69" customFormat="1" ht="20.25" customHeight="1" x14ac:dyDescent="0.2">
      <c r="A72" s="115" t="s">
        <v>582</v>
      </c>
      <c r="B72" s="115" t="s">
        <v>584</v>
      </c>
      <c r="C72" s="116" t="s">
        <v>583</v>
      </c>
      <c r="D72" s="115" t="s">
        <v>16</v>
      </c>
      <c r="E72" s="115" t="s">
        <v>1215</v>
      </c>
      <c r="F72" s="117">
        <v>53</v>
      </c>
      <c r="G72" s="115">
        <v>4031</v>
      </c>
      <c r="H72" s="115" t="s">
        <v>1216</v>
      </c>
      <c r="I72" s="115" t="s">
        <v>582</v>
      </c>
      <c r="J72" s="116" t="s">
        <v>581</v>
      </c>
      <c r="K72" s="115" t="s">
        <v>13</v>
      </c>
      <c r="L72" s="116" t="s">
        <v>6</v>
      </c>
      <c r="M72" s="115">
        <v>1</v>
      </c>
      <c r="N72" s="115">
        <v>1</v>
      </c>
      <c r="O72" s="115">
        <v>1</v>
      </c>
      <c r="P72" s="115" t="s">
        <v>1217</v>
      </c>
      <c r="Q72" s="115"/>
      <c r="R72" s="70"/>
    </row>
    <row r="73" spans="1:18" s="69" customFormat="1" ht="20.25" customHeight="1" x14ac:dyDescent="0.2">
      <c r="A73" s="112" t="s">
        <v>580</v>
      </c>
      <c r="B73" s="112" t="s">
        <v>579</v>
      </c>
      <c r="C73" s="113" t="s">
        <v>578</v>
      </c>
      <c r="D73" s="112" t="s">
        <v>16</v>
      </c>
      <c r="E73" s="112" t="s">
        <v>1218</v>
      </c>
      <c r="F73" s="114" t="s">
        <v>1025</v>
      </c>
      <c r="G73" s="112">
        <v>2040</v>
      </c>
      <c r="H73" s="112" t="s">
        <v>1050</v>
      </c>
      <c r="I73" s="112" t="s">
        <v>288</v>
      </c>
      <c r="J73" s="113" t="s">
        <v>287</v>
      </c>
      <c r="K73" s="112" t="s">
        <v>13</v>
      </c>
      <c r="L73" s="113" t="s">
        <v>6</v>
      </c>
      <c r="M73" s="112">
        <v>1</v>
      </c>
      <c r="N73" s="112">
        <v>0</v>
      </c>
      <c r="O73" s="112">
        <v>0</v>
      </c>
      <c r="P73" s="112" t="s">
        <v>1219</v>
      </c>
      <c r="Q73" s="112"/>
      <c r="R73" s="70"/>
    </row>
    <row r="74" spans="1:18" s="69" customFormat="1" ht="20.25" customHeight="1" x14ac:dyDescent="0.2">
      <c r="A74" s="115" t="s">
        <v>575</v>
      </c>
      <c r="B74" s="115" t="s">
        <v>577</v>
      </c>
      <c r="C74" s="116" t="s">
        <v>576</v>
      </c>
      <c r="D74" s="115" t="s">
        <v>16</v>
      </c>
      <c r="E74" s="115" t="s">
        <v>1220</v>
      </c>
      <c r="F74" s="117">
        <v>20</v>
      </c>
      <c r="G74" s="115">
        <v>2070</v>
      </c>
      <c r="H74" s="115" t="s">
        <v>1029</v>
      </c>
      <c r="I74" s="115" t="s">
        <v>575</v>
      </c>
      <c r="J74" s="116" t="s">
        <v>574</v>
      </c>
      <c r="K74" s="115" t="s">
        <v>13</v>
      </c>
      <c r="L74" s="116" t="s">
        <v>6</v>
      </c>
      <c r="M74" s="115">
        <v>1</v>
      </c>
      <c r="N74" s="115">
        <v>0</v>
      </c>
      <c r="O74" s="115">
        <v>0</v>
      </c>
      <c r="P74" s="115" t="s">
        <v>1221</v>
      </c>
      <c r="Q74" s="115"/>
      <c r="R74" s="70"/>
    </row>
    <row r="75" spans="1:18" s="69" customFormat="1" ht="20.25" customHeight="1" x14ac:dyDescent="0.2">
      <c r="A75" s="112" t="s">
        <v>571</v>
      </c>
      <c r="B75" s="112" t="s">
        <v>573</v>
      </c>
      <c r="C75" s="113" t="s">
        <v>572</v>
      </c>
      <c r="D75" s="112" t="s">
        <v>16</v>
      </c>
      <c r="E75" s="112" t="s">
        <v>1222</v>
      </c>
      <c r="F75" s="114">
        <v>2</v>
      </c>
      <c r="G75" s="112">
        <v>2450</v>
      </c>
      <c r="H75" s="112" t="s">
        <v>1223</v>
      </c>
      <c r="I75" s="112" t="s">
        <v>571</v>
      </c>
      <c r="J75" s="113" t="s">
        <v>570</v>
      </c>
      <c r="K75" s="112" t="s">
        <v>13</v>
      </c>
      <c r="L75" s="113" t="s">
        <v>6</v>
      </c>
      <c r="M75" s="112">
        <v>1</v>
      </c>
      <c r="N75" s="112">
        <v>0</v>
      </c>
      <c r="O75" s="112">
        <v>0</v>
      </c>
      <c r="P75" s="112" t="s">
        <v>1224</v>
      </c>
      <c r="Q75" s="112" t="s">
        <v>1045</v>
      </c>
      <c r="R75" s="70"/>
    </row>
    <row r="76" spans="1:18" s="69" customFormat="1" ht="20.25" customHeight="1" x14ac:dyDescent="0.2">
      <c r="A76" s="115" t="s">
        <v>567</v>
      </c>
      <c r="B76" s="115" t="s">
        <v>569</v>
      </c>
      <c r="C76" s="116" t="s">
        <v>568</v>
      </c>
      <c r="D76" s="115" t="s">
        <v>16</v>
      </c>
      <c r="E76" s="115" t="s">
        <v>1225</v>
      </c>
      <c r="F76" s="117">
        <v>8</v>
      </c>
      <c r="G76" s="115">
        <v>2030</v>
      </c>
      <c r="H76" s="115" t="s">
        <v>1226</v>
      </c>
      <c r="I76" s="115" t="s">
        <v>567</v>
      </c>
      <c r="J76" s="116" t="s">
        <v>566</v>
      </c>
      <c r="K76" s="115" t="s">
        <v>7</v>
      </c>
      <c r="L76" s="116" t="s">
        <v>6</v>
      </c>
      <c r="M76" s="115">
        <v>1</v>
      </c>
      <c r="N76" s="115">
        <v>0</v>
      </c>
      <c r="O76" s="115">
        <v>0</v>
      </c>
      <c r="P76" s="115" t="s">
        <v>1227</v>
      </c>
      <c r="Q76" s="115"/>
      <c r="R76" s="70"/>
    </row>
    <row r="77" spans="1:18" s="69" customFormat="1" ht="20.25" customHeight="1" x14ac:dyDescent="0.2">
      <c r="A77" s="112" t="s">
        <v>563</v>
      </c>
      <c r="B77" s="112" t="s">
        <v>565</v>
      </c>
      <c r="C77" s="113" t="s">
        <v>564</v>
      </c>
      <c r="D77" s="112" t="s">
        <v>16</v>
      </c>
      <c r="E77" s="112" t="s">
        <v>1228</v>
      </c>
      <c r="F77" s="114">
        <v>33</v>
      </c>
      <c r="G77" s="112">
        <v>4040</v>
      </c>
      <c r="H77" s="112" t="s">
        <v>1229</v>
      </c>
      <c r="I77" s="112" t="s">
        <v>563</v>
      </c>
      <c r="J77" s="113" t="s">
        <v>562</v>
      </c>
      <c r="K77" s="112" t="s">
        <v>13</v>
      </c>
      <c r="L77" s="113" t="s">
        <v>6</v>
      </c>
      <c r="M77" s="112">
        <v>1</v>
      </c>
      <c r="N77" s="112">
        <v>1</v>
      </c>
      <c r="O77" s="112">
        <v>1</v>
      </c>
      <c r="P77" s="112" t="s">
        <v>1230</v>
      </c>
      <c r="Q77" s="112"/>
      <c r="R77" s="70"/>
    </row>
    <row r="78" spans="1:18" s="69" customFormat="1" ht="20.25" customHeight="1" x14ac:dyDescent="0.2">
      <c r="A78" s="115" t="s">
        <v>561</v>
      </c>
      <c r="B78" s="115" t="s">
        <v>986</v>
      </c>
      <c r="C78" s="116" t="s">
        <v>987</v>
      </c>
      <c r="D78" s="115" t="s">
        <v>16</v>
      </c>
      <c r="E78" s="115" t="s">
        <v>1231</v>
      </c>
      <c r="F78" s="117" t="s">
        <v>1232</v>
      </c>
      <c r="G78" s="115">
        <v>3920</v>
      </c>
      <c r="H78" s="115" t="s">
        <v>1233</v>
      </c>
      <c r="I78" s="115" t="s">
        <v>561</v>
      </c>
      <c r="J78" s="116" t="s">
        <v>560</v>
      </c>
      <c r="K78" s="115" t="s">
        <v>13</v>
      </c>
      <c r="L78" s="116" t="s">
        <v>6</v>
      </c>
      <c r="M78" s="115">
        <v>1</v>
      </c>
      <c r="N78" s="115">
        <v>0</v>
      </c>
      <c r="O78" s="115">
        <v>0</v>
      </c>
      <c r="P78" s="115" t="s">
        <v>1234</v>
      </c>
      <c r="Q78" s="115"/>
      <c r="R78" s="70"/>
    </row>
    <row r="79" spans="1:18" s="69" customFormat="1" ht="20.25" customHeight="1" x14ac:dyDescent="0.2">
      <c r="A79" s="112" t="s">
        <v>554</v>
      </c>
      <c r="B79" s="112" t="s">
        <v>556</v>
      </c>
      <c r="C79" s="113" t="s">
        <v>555</v>
      </c>
      <c r="D79" s="112" t="s">
        <v>16</v>
      </c>
      <c r="E79" s="112" t="s">
        <v>1235</v>
      </c>
      <c r="F79" s="114" t="s">
        <v>1025</v>
      </c>
      <c r="G79" s="112">
        <v>9130</v>
      </c>
      <c r="H79" s="112" t="s">
        <v>1120</v>
      </c>
      <c r="I79" s="112" t="s">
        <v>554</v>
      </c>
      <c r="J79" s="113" t="s">
        <v>553</v>
      </c>
      <c r="K79" s="112" t="s">
        <v>13</v>
      </c>
      <c r="L79" s="113" t="s">
        <v>6</v>
      </c>
      <c r="M79" s="112">
        <v>1</v>
      </c>
      <c r="N79" s="112">
        <v>0</v>
      </c>
      <c r="O79" s="112">
        <v>0</v>
      </c>
      <c r="P79" s="112" t="s">
        <v>1236</v>
      </c>
      <c r="Q79" s="112"/>
      <c r="R79" s="70"/>
    </row>
    <row r="80" spans="1:18" s="69" customFormat="1" ht="20.25" customHeight="1" x14ac:dyDescent="0.2">
      <c r="A80" s="115" t="s">
        <v>550</v>
      </c>
      <c r="B80" s="115" t="s">
        <v>552</v>
      </c>
      <c r="C80" s="116" t="s">
        <v>551</v>
      </c>
      <c r="D80" s="115" t="s">
        <v>16</v>
      </c>
      <c r="E80" s="115" t="s">
        <v>1237</v>
      </c>
      <c r="F80" s="117">
        <v>36</v>
      </c>
      <c r="G80" s="115">
        <v>9042</v>
      </c>
      <c r="H80" s="115" t="s">
        <v>34</v>
      </c>
      <c r="I80" s="115" t="s">
        <v>550</v>
      </c>
      <c r="J80" s="116" t="s">
        <v>549</v>
      </c>
      <c r="K80" s="115" t="s">
        <v>13</v>
      </c>
      <c r="L80" s="116" t="s">
        <v>6</v>
      </c>
      <c r="M80" s="115">
        <v>1</v>
      </c>
      <c r="N80" s="115">
        <v>0</v>
      </c>
      <c r="O80" s="115">
        <v>0</v>
      </c>
      <c r="P80" s="115" t="s">
        <v>1238</v>
      </c>
      <c r="Q80" s="115"/>
      <c r="R80" s="70"/>
    </row>
    <row r="81" spans="1:18" s="69" customFormat="1" ht="20.25" customHeight="1" x14ac:dyDescent="0.2">
      <c r="A81" s="112" t="s">
        <v>546</v>
      </c>
      <c r="B81" s="112" t="s">
        <v>548</v>
      </c>
      <c r="C81" s="113" t="s">
        <v>547</v>
      </c>
      <c r="D81" s="112" t="s">
        <v>16</v>
      </c>
      <c r="E81" s="112" t="s">
        <v>1239</v>
      </c>
      <c r="F81" s="114">
        <v>1</v>
      </c>
      <c r="G81" s="112">
        <v>7331</v>
      </c>
      <c r="H81" s="112" t="s">
        <v>1240</v>
      </c>
      <c r="I81" s="112" t="s">
        <v>546</v>
      </c>
      <c r="J81" s="113" t="s">
        <v>545</v>
      </c>
      <c r="K81" s="112" t="s">
        <v>13</v>
      </c>
      <c r="L81" s="113" t="s">
        <v>6</v>
      </c>
      <c r="M81" s="112">
        <v>1</v>
      </c>
      <c r="N81" s="112">
        <v>1</v>
      </c>
      <c r="O81" s="112">
        <v>1</v>
      </c>
      <c r="P81" s="112" t="s">
        <v>1241</v>
      </c>
      <c r="Q81" s="112"/>
      <c r="R81" s="70"/>
    </row>
    <row r="82" spans="1:18" s="69" customFormat="1" ht="20.25" customHeight="1" x14ac:dyDescent="0.2">
      <c r="A82" s="115" t="s">
        <v>1242</v>
      </c>
      <c r="B82" s="115" t="s">
        <v>544</v>
      </c>
      <c r="C82" s="116" t="s">
        <v>543</v>
      </c>
      <c r="D82" s="115" t="s">
        <v>16</v>
      </c>
      <c r="E82" s="121" t="s">
        <v>1243</v>
      </c>
      <c r="F82" s="122">
        <v>43</v>
      </c>
      <c r="G82" s="121">
        <v>8000</v>
      </c>
      <c r="H82" s="121" t="s">
        <v>1244</v>
      </c>
      <c r="I82" s="115" t="s">
        <v>1242</v>
      </c>
      <c r="J82" s="116" t="s">
        <v>542</v>
      </c>
      <c r="K82" s="115" t="s">
        <v>13</v>
      </c>
      <c r="L82" s="116" t="s">
        <v>6</v>
      </c>
      <c r="M82" s="115">
        <v>1</v>
      </c>
      <c r="N82" s="115">
        <v>1</v>
      </c>
      <c r="O82" s="115">
        <v>1</v>
      </c>
      <c r="P82" s="115" t="s">
        <v>1245</v>
      </c>
      <c r="Q82" s="115"/>
      <c r="R82" s="70"/>
    </row>
    <row r="83" spans="1:18" s="69" customFormat="1" ht="20.25" customHeight="1" x14ac:dyDescent="0.2">
      <c r="A83" s="112" t="s">
        <v>539</v>
      </c>
      <c r="B83" s="112" t="s">
        <v>541</v>
      </c>
      <c r="C83" s="113" t="s">
        <v>540</v>
      </c>
      <c r="D83" s="112" t="s">
        <v>16</v>
      </c>
      <c r="E83" s="112" t="s">
        <v>1246</v>
      </c>
      <c r="F83" s="114" t="s">
        <v>1247</v>
      </c>
      <c r="G83" s="112">
        <v>6590</v>
      </c>
      <c r="H83" s="112" t="s">
        <v>1248</v>
      </c>
      <c r="I83" s="112" t="s">
        <v>539</v>
      </c>
      <c r="J83" s="113" t="s">
        <v>538</v>
      </c>
      <c r="K83" s="112" t="s">
        <v>13</v>
      </c>
      <c r="L83" s="113" t="s">
        <v>6</v>
      </c>
      <c r="M83" s="112">
        <v>0</v>
      </c>
      <c r="N83" s="112">
        <v>1</v>
      </c>
      <c r="O83" s="112">
        <v>0</v>
      </c>
      <c r="P83" s="112" t="s">
        <v>1249</v>
      </c>
      <c r="Q83" s="112"/>
      <c r="R83" s="70"/>
    </row>
    <row r="84" spans="1:18" s="69" customFormat="1" ht="20.25" customHeight="1" x14ac:dyDescent="0.2">
      <c r="A84" s="115" t="s">
        <v>1250</v>
      </c>
      <c r="B84" s="115" t="s">
        <v>1251</v>
      </c>
      <c r="C84" s="116" t="s">
        <v>1252</v>
      </c>
      <c r="D84" s="115" t="s">
        <v>16</v>
      </c>
      <c r="E84" s="115" t="s">
        <v>1253</v>
      </c>
      <c r="F84" s="117">
        <v>7</v>
      </c>
      <c r="G84" s="115">
        <v>9130</v>
      </c>
      <c r="H84" s="115" t="s">
        <v>1120</v>
      </c>
      <c r="I84" s="115" t="s">
        <v>1250</v>
      </c>
      <c r="J84" s="116" t="s">
        <v>1254</v>
      </c>
      <c r="K84" s="115" t="s">
        <v>13</v>
      </c>
      <c r="L84" s="116" t="s">
        <v>6</v>
      </c>
      <c r="M84" s="115">
        <v>1</v>
      </c>
      <c r="N84" s="115">
        <v>0</v>
      </c>
      <c r="O84" s="115">
        <v>0</v>
      </c>
      <c r="P84" s="115" t="s">
        <v>1255</v>
      </c>
      <c r="Q84" s="115"/>
      <c r="R84" s="70"/>
    </row>
    <row r="85" spans="1:18" s="69" customFormat="1" ht="20.25" customHeight="1" x14ac:dyDescent="0.2">
      <c r="A85" s="112" t="s">
        <v>535</v>
      </c>
      <c r="B85" s="112" t="s">
        <v>537</v>
      </c>
      <c r="C85" s="113" t="s">
        <v>536</v>
      </c>
      <c r="D85" s="112" t="s">
        <v>16</v>
      </c>
      <c r="E85" s="112" t="s">
        <v>1256</v>
      </c>
      <c r="F85" s="114">
        <v>2</v>
      </c>
      <c r="G85" s="112">
        <v>7034</v>
      </c>
      <c r="H85" s="112" t="s">
        <v>1257</v>
      </c>
      <c r="I85" s="112" t="s">
        <v>535</v>
      </c>
      <c r="J85" s="113" t="s">
        <v>534</v>
      </c>
      <c r="K85" s="112" t="s">
        <v>13</v>
      </c>
      <c r="L85" s="113" t="s">
        <v>6</v>
      </c>
      <c r="M85" s="112">
        <v>1</v>
      </c>
      <c r="N85" s="112">
        <v>0</v>
      </c>
      <c r="O85" s="112">
        <v>0</v>
      </c>
      <c r="P85" s="112" t="s">
        <v>1258</v>
      </c>
      <c r="Q85" s="112"/>
      <c r="R85" s="70"/>
    </row>
    <row r="86" spans="1:18" s="69" customFormat="1" ht="20.25" customHeight="1" x14ac:dyDescent="0.2">
      <c r="A86" s="115" t="s">
        <v>531</v>
      </c>
      <c r="B86" s="115" t="s">
        <v>533</v>
      </c>
      <c r="C86" s="116" t="s">
        <v>532</v>
      </c>
      <c r="D86" s="115" t="s">
        <v>16</v>
      </c>
      <c r="E86" s="115" t="s">
        <v>1259</v>
      </c>
      <c r="F86" s="117">
        <v>104</v>
      </c>
      <c r="G86" s="115">
        <v>9000</v>
      </c>
      <c r="H86" s="115" t="s">
        <v>34</v>
      </c>
      <c r="I86" s="115" t="s">
        <v>531</v>
      </c>
      <c r="J86" s="116" t="s">
        <v>530</v>
      </c>
      <c r="K86" s="115" t="s">
        <v>13</v>
      </c>
      <c r="L86" s="116" t="s">
        <v>6</v>
      </c>
      <c r="M86" s="115">
        <v>1</v>
      </c>
      <c r="N86" s="115">
        <v>1</v>
      </c>
      <c r="O86" s="115">
        <v>1</v>
      </c>
      <c r="P86" s="115" t="s">
        <v>1260</v>
      </c>
      <c r="Q86" s="115"/>
      <c r="R86" s="70"/>
    </row>
    <row r="87" spans="1:18" s="69" customFormat="1" ht="20.25" customHeight="1" x14ac:dyDescent="0.2">
      <c r="A87" s="112" t="s">
        <v>1595</v>
      </c>
      <c r="B87" s="112" t="s">
        <v>203</v>
      </c>
      <c r="C87" s="113" t="s">
        <v>202</v>
      </c>
      <c r="D87" s="112" t="s">
        <v>16</v>
      </c>
      <c r="E87" s="112" t="s">
        <v>1468</v>
      </c>
      <c r="F87" s="114">
        <v>1</v>
      </c>
      <c r="G87" s="112">
        <v>7011</v>
      </c>
      <c r="H87" s="112" t="s">
        <v>1334</v>
      </c>
      <c r="I87" s="112" t="s">
        <v>201</v>
      </c>
      <c r="J87" s="113" t="s">
        <v>200</v>
      </c>
      <c r="K87" s="112" t="s">
        <v>13</v>
      </c>
      <c r="L87" s="113" t="s">
        <v>6</v>
      </c>
      <c r="M87" s="112">
        <v>1</v>
      </c>
      <c r="N87" s="112">
        <v>1</v>
      </c>
      <c r="O87" s="112">
        <v>1</v>
      </c>
      <c r="P87" s="112" t="s">
        <v>1469</v>
      </c>
      <c r="Q87" s="112"/>
      <c r="R87" s="70"/>
    </row>
    <row r="88" spans="1:18" s="69" customFormat="1" ht="20.25" customHeight="1" x14ac:dyDescent="0.2">
      <c r="A88" s="112" t="s">
        <v>527</v>
      </c>
      <c r="B88" s="112" t="s">
        <v>529</v>
      </c>
      <c r="C88" s="113" t="s">
        <v>528</v>
      </c>
      <c r="D88" s="112" t="s">
        <v>16</v>
      </c>
      <c r="E88" s="112" t="s">
        <v>1261</v>
      </c>
      <c r="F88" s="114">
        <v>2</v>
      </c>
      <c r="G88" s="112">
        <v>4600</v>
      </c>
      <c r="H88" s="112" t="s">
        <v>1262</v>
      </c>
      <c r="I88" s="112" t="s">
        <v>527</v>
      </c>
      <c r="J88" s="113" t="s">
        <v>526</v>
      </c>
      <c r="K88" s="112" t="s">
        <v>13</v>
      </c>
      <c r="L88" s="113" t="s">
        <v>6</v>
      </c>
      <c r="M88" s="112">
        <v>1</v>
      </c>
      <c r="N88" s="112">
        <v>0</v>
      </c>
      <c r="O88" s="112">
        <v>0</v>
      </c>
      <c r="P88" s="112" t="s">
        <v>1263</v>
      </c>
      <c r="Q88" s="112"/>
      <c r="R88" s="70"/>
    </row>
    <row r="89" spans="1:18" s="69" customFormat="1" ht="20.25" customHeight="1" x14ac:dyDescent="0.2">
      <c r="A89" s="115" t="s">
        <v>523</v>
      </c>
      <c r="B89" s="115" t="s">
        <v>525</v>
      </c>
      <c r="C89" s="116" t="s">
        <v>524</v>
      </c>
      <c r="D89" s="115" t="s">
        <v>16</v>
      </c>
      <c r="E89" s="115" t="s">
        <v>1195</v>
      </c>
      <c r="F89" s="117">
        <v>2</v>
      </c>
      <c r="G89" s="115">
        <v>9000</v>
      </c>
      <c r="H89" s="115" t="s">
        <v>34</v>
      </c>
      <c r="I89" s="115" t="s">
        <v>523</v>
      </c>
      <c r="J89" s="116" t="s">
        <v>522</v>
      </c>
      <c r="K89" s="115" t="s">
        <v>13</v>
      </c>
      <c r="L89" s="116" t="s">
        <v>6</v>
      </c>
      <c r="M89" s="115">
        <v>1</v>
      </c>
      <c r="N89" s="115">
        <v>1</v>
      </c>
      <c r="O89" s="115">
        <v>1</v>
      </c>
      <c r="P89" s="115" t="s">
        <v>1264</v>
      </c>
      <c r="Q89" s="115"/>
      <c r="R89" s="70"/>
    </row>
    <row r="90" spans="1:18" s="69" customFormat="1" ht="20.25" customHeight="1" x14ac:dyDescent="0.2">
      <c r="A90" s="112" t="s">
        <v>519</v>
      </c>
      <c r="B90" s="112" t="s">
        <v>521</v>
      </c>
      <c r="C90" s="113" t="s">
        <v>520</v>
      </c>
      <c r="D90" s="112" t="s">
        <v>16</v>
      </c>
      <c r="E90" s="112" t="s">
        <v>1265</v>
      </c>
      <c r="F90" s="114">
        <v>1</v>
      </c>
      <c r="G90" s="112">
        <v>3000</v>
      </c>
      <c r="H90" s="112" t="s">
        <v>1266</v>
      </c>
      <c r="I90" s="112" t="s">
        <v>519</v>
      </c>
      <c r="J90" s="113" t="s">
        <v>518</v>
      </c>
      <c r="K90" s="112" t="s">
        <v>13</v>
      </c>
      <c r="L90" s="113" t="s">
        <v>19</v>
      </c>
      <c r="M90" s="112">
        <v>1</v>
      </c>
      <c r="N90" s="112">
        <v>0</v>
      </c>
      <c r="O90" s="112">
        <v>0</v>
      </c>
      <c r="P90" s="112" t="s">
        <v>1267</v>
      </c>
      <c r="Q90" s="112"/>
      <c r="R90" s="70"/>
    </row>
    <row r="91" spans="1:18" s="69" customFormat="1" ht="20.25" customHeight="1" x14ac:dyDescent="0.2">
      <c r="A91" s="115" t="s">
        <v>515</v>
      </c>
      <c r="B91" s="115" t="s">
        <v>517</v>
      </c>
      <c r="C91" s="116" t="s">
        <v>516</v>
      </c>
      <c r="D91" s="115" t="s">
        <v>16</v>
      </c>
      <c r="E91" s="115" t="s">
        <v>1268</v>
      </c>
      <c r="F91" s="117">
        <v>266</v>
      </c>
      <c r="G91" s="115">
        <v>6030</v>
      </c>
      <c r="H91" s="115" t="s">
        <v>1054</v>
      </c>
      <c r="I91" s="115" t="s">
        <v>515</v>
      </c>
      <c r="J91" s="116" t="s">
        <v>514</v>
      </c>
      <c r="K91" s="115" t="s">
        <v>13</v>
      </c>
      <c r="L91" s="116" t="s">
        <v>6</v>
      </c>
      <c r="M91" s="115">
        <v>1</v>
      </c>
      <c r="N91" s="115">
        <v>1</v>
      </c>
      <c r="O91" s="115">
        <v>1</v>
      </c>
      <c r="P91" s="115" t="s">
        <v>1269</v>
      </c>
      <c r="Q91" s="115"/>
      <c r="R91" s="70"/>
    </row>
    <row r="92" spans="1:18" s="69" customFormat="1" ht="20.25" customHeight="1" x14ac:dyDescent="0.2">
      <c r="A92" s="112" t="s">
        <v>513</v>
      </c>
      <c r="B92" s="112" t="s">
        <v>512</v>
      </c>
      <c r="C92" s="113" t="s">
        <v>511</v>
      </c>
      <c r="D92" s="112" t="s">
        <v>16</v>
      </c>
      <c r="E92" s="112" t="s">
        <v>1270</v>
      </c>
      <c r="F92" s="114" t="s">
        <v>1025</v>
      </c>
      <c r="G92" s="112">
        <v>7181</v>
      </c>
      <c r="H92" s="112" t="s">
        <v>1173</v>
      </c>
      <c r="I92" s="112" t="s">
        <v>507</v>
      </c>
      <c r="J92" s="113" t="s">
        <v>506</v>
      </c>
      <c r="K92" s="112" t="s">
        <v>13</v>
      </c>
      <c r="L92" s="113" t="s">
        <v>6</v>
      </c>
      <c r="M92" s="112">
        <v>1</v>
      </c>
      <c r="N92" s="112">
        <v>0</v>
      </c>
      <c r="O92" s="112">
        <v>0</v>
      </c>
      <c r="P92" s="112" t="s">
        <v>1271</v>
      </c>
      <c r="Q92" s="112"/>
      <c r="R92" s="70"/>
    </row>
    <row r="93" spans="1:18" s="69" customFormat="1" ht="20.25" customHeight="1" x14ac:dyDescent="0.2">
      <c r="A93" s="115" t="s">
        <v>510</v>
      </c>
      <c r="B93" s="115" t="s">
        <v>509</v>
      </c>
      <c r="C93" s="116" t="s">
        <v>508</v>
      </c>
      <c r="D93" s="115" t="s">
        <v>16</v>
      </c>
      <c r="E93" s="115" t="s">
        <v>1272</v>
      </c>
      <c r="F93" s="117" t="s">
        <v>1025</v>
      </c>
      <c r="G93" s="115">
        <v>7181</v>
      </c>
      <c r="H93" s="115" t="s">
        <v>1273</v>
      </c>
      <c r="I93" s="115" t="s">
        <v>507</v>
      </c>
      <c r="J93" s="116" t="s">
        <v>506</v>
      </c>
      <c r="K93" s="115" t="s">
        <v>13</v>
      </c>
      <c r="L93" s="116" t="s">
        <v>6</v>
      </c>
      <c r="M93" s="115">
        <v>1</v>
      </c>
      <c r="N93" s="115">
        <v>0</v>
      </c>
      <c r="O93" s="115">
        <v>0</v>
      </c>
      <c r="P93" s="115" t="s">
        <v>1271</v>
      </c>
      <c r="Q93" s="115"/>
      <c r="R93" s="70"/>
    </row>
    <row r="94" spans="1:18" s="69" customFormat="1" ht="20.25" customHeight="1" x14ac:dyDescent="0.2">
      <c r="A94" s="112" t="s">
        <v>1274</v>
      </c>
      <c r="B94" s="112" t="s">
        <v>716</v>
      </c>
      <c r="C94" s="113" t="s">
        <v>715</v>
      </c>
      <c r="D94" s="112" t="s">
        <v>16</v>
      </c>
      <c r="E94" s="112" t="s">
        <v>1275</v>
      </c>
      <c r="F94" s="114">
        <v>2</v>
      </c>
      <c r="G94" s="112">
        <v>2440</v>
      </c>
      <c r="H94" s="112" t="s">
        <v>1276</v>
      </c>
      <c r="I94" s="112" t="s">
        <v>1274</v>
      </c>
      <c r="J94" s="113" t="s">
        <v>714</v>
      </c>
      <c r="K94" s="112" t="s">
        <v>13</v>
      </c>
      <c r="L94" s="113" t="s">
        <v>6</v>
      </c>
      <c r="M94" s="112">
        <v>1</v>
      </c>
      <c r="N94" s="112">
        <v>0</v>
      </c>
      <c r="O94" s="112">
        <v>0</v>
      </c>
      <c r="P94" s="112" t="s">
        <v>1277</v>
      </c>
      <c r="Q94" s="112" t="s">
        <v>1045</v>
      </c>
      <c r="R94" s="70"/>
    </row>
    <row r="95" spans="1:18" s="69" customFormat="1" ht="20.25" customHeight="1" x14ac:dyDescent="0.2">
      <c r="A95" s="112" t="s">
        <v>503</v>
      </c>
      <c r="B95" s="112" t="s">
        <v>505</v>
      </c>
      <c r="C95" s="113" t="s">
        <v>504</v>
      </c>
      <c r="D95" s="112" t="s">
        <v>16</v>
      </c>
      <c r="E95" s="112" t="s">
        <v>1278</v>
      </c>
      <c r="F95" s="114">
        <v>480</v>
      </c>
      <c r="G95" s="112">
        <v>2040</v>
      </c>
      <c r="H95" s="112" t="s">
        <v>1050</v>
      </c>
      <c r="I95" s="112" t="s">
        <v>503</v>
      </c>
      <c r="J95" s="113" t="s">
        <v>502</v>
      </c>
      <c r="K95" s="112" t="s">
        <v>13</v>
      </c>
      <c r="L95" s="113" t="s">
        <v>6</v>
      </c>
      <c r="M95" s="112">
        <v>1</v>
      </c>
      <c r="N95" s="112">
        <v>0</v>
      </c>
      <c r="O95" s="112">
        <v>0</v>
      </c>
      <c r="P95" s="112" t="s">
        <v>1279</v>
      </c>
      <c r="Q95" s="112" t="s">
        <v>1611</v>
      </c>
      <c r="R95" s="70"/>
    </row>
    <row r="96" spans="1:18" s="69" customFormat="1" ht="20.25" customHeight="1" x14ac:dyDescent="0.2">
      <c r="A96" s="115" t="s">
        <v>501</v>
      </c>
      <c r="B96" s="115" t="s">
        <v>500</v>
      </c>
      <c r="C96" s="116" t="s">
        <v>499</v>
      </c>
      <c r="D96" s="115" t="s">
        <v>16</v>
      </c>
      <c r="E96" s="115" t="s">
        <v>1280</v>
      </c>
      <c r="F96" s="117">
        <v>1</v>
      </c>
      <c r="G96" s="115">
        <v>2070</v>
      </c>
      <c r="H96" s="115" t="s">
        <v>1029</v>
      </c>
      <c r="I96" s="115" t="s">
        <v>988</v>
      </c>
      <c r="J96" s="116" t="s">
        <v>217</v>
      </c>
      <c r="K96" s="115" t="s">
        <v>7</v>
      </c>
      <c r="L96" s="116" t="s">
        <v>6</v>
      </c>
      <c r="M96" s="115">
        <v>1</v>
      </c>
      <c r="N96" s="115">
        <v>0</v>
      </c>
      <c r="O96" s="115">
        <v>0</v>
      </c>
      <c r="P96" s="115" t="s">
        <v>1281</v>
      </c>
      <c r="Q96" s="115"/>
      <c r="R96" s="70"/>
    </row>
    <row r="97" spans="1:18" s="69" customFormat="1" ht="20.25" customHeight="1" x14ac:dyDescent="0.2">
      <c r="A97" s="112" t="s">
        <v>496</v>
      </c>
      <c r="B97" s="112" t="s">
        <v>498</v>
      </c>
      <c r="C97" s="113" t="s">
        <v>497</v>
      </c>
      <c r="D97" s="112" t="s">
        <v>16</v>
      </c>
      <c r="E97" s="112" t="s">
        <v>1282</v>
      </c>
      <c r="F97" s="114">
        <v>39</v>
      </c>
      <c r="G97" s="112">
        <v>5190</v>
      </c>
      <c r="H97" s="112" t="s">
        <v>1047</v>
      </c>
      <c r="I97" s="112" t="s">
        <v>496</v>
      </c>
      <c r="J97" s="113" t="s">
        <v>495</v>
      </c>
      <c r="K97" s="112" t="s">
        <v>13</v>
      </c>
      <c r="L97" s="113" t="s">
        <v>6</v>
      </c>
      <c r="M97" s="112">
        <v>1</v>
      </c>
      <c r="N97" s="112">
        <v>1</v>
      </c>
      <c r="O97" s="112">
        <v>0</v>
      </c>
      <c r="P97" s="112" t="s">
        <v>1283</v>
      </c>
      <c r="Q97" s="112"/>
      <c r="R97" s="70"/>
    </row>
    <row r="98" spans="1:18" s="69" customFormat="1" ht="20.25" customHeight="1" x14ac:dyDescent="0.2">
      <c r="A98" s="115" t="s">
        <v>492</v>
      </c>
      <c r="B98" s="115" t="s">
        <v>494</v>
      </c>
      <c r="C98" s="116" t="s">
        <v>493</v>
      </c>
      <c r="D98" s="115" t="s">
        <v>16</v>
      </c>
      <c r="E98" s="115" t="s">
        <v>1284</v>
      </c>
      <c r="F98" s="117">
        <v>26</v>
      </c>
      <c r="G98" s="115">
        <v>4020</v>
      </c>
      <c r="H98" s="115" t="s">
        <v>1285</v>
      </c>
      <c r="I98" s="115" t="s">
        <v>492</v>
      </c>
      <c r="J98" s="116" t="s">
        <v>491</v>
      </c>
      <c r="K98" s="115" t="s">
        <v>13</v>
      </c>
      <c r="L98" s="116" t="s">
        <v>6</v>
      </c>
      <c r="M98" s="115">
        <v>1</v>
      </c>
      <c r="N98" s="115">
        <v>1</v>
      </c>
      <c r="O98" s="115">
        <v>1</v>
      </c>
      <c r="P98" s="115" t="s">
        <v>1286</v>
      </c>
      <c r="Q98" s="115"/>
      <c r="R98" s="70"/>
    </row>
    <row r="99" spans="1:18" s="69" customFormat="1" ht="20.25" customHeight="1" x14ac:dyDescent="0.2">
      <c r="A99" s="115" t="s">
        <v>488</v>
      </c>
      <c r="B99" s="115" t="s">
        <v>490</v>
      </c>
      <c r="C99" s="116" t="s">
        <v>489</v>
      </c>
      <c r="D99" s="115" t="s">
        <v>16</v>
      </c>
      <c r="E99" s="115" t="s">
        <v>1288</v>
      </c>
      <c r="F99" s="117" t="s">
        <v>1025</v>
      </c>
      <c r="G99" s="115">
        <v>6761</v>
      </c>
      <c r="H99" s="115" t="s">
        <v>1144</v>
      </c>
      <c r="I99" s="115" t="s">
        <v>488</v>
      </c>
      <c r="J99" s="116" t="s">
        <v>487</v>
      </c>
      <c r="K99" s="115" t="s">
        <v>13</v>
      </c>
      <c r="L99" s="116" t="s">
        <v>6</v>
      </c>
      <c r="M99" s="115">
        <v>1</v>
      </c>
      <c r="N99" s="115">
        <v>0</v>
      </c>
      <c r="O99" s="115">
        <v>0</v>
      </c>
      <c r="P99" s="115" t="s">
        <v>1289</v>
      </c>
      <c r="Q99" s="115"/>
      <c r="R99" s="70"/>
    </row>
    <row r="100" spans="1:18" s="69" customFormat="1" ht="20.25" customHeight="1" x14ac:dyDescent="0.2">
      <c r="A100" s="115" t="s">
        <v>1290</v>
      </c>
      <c r="B100" s="115" t="s">
        <v>632</v>
      </c>
      <c r="C100" s="116" t="s">
        <v>631</v>
      </c>
      <c r="D100" s="115" t="s">
        <v>16</v>
      </c>
      <c r="E100" s="115" t="s">
        <v>1291</v>
      </c>
      <c r="F100" s="117">
        <v>15</v>
      </c>
      <c r="G100" s="115">
        <v>6790</v>
      </c>
      <c r="H100" s="115" t="s">
        <v>1292</v>
      </c>
      <c r="I100" s="115" t="s">
        <v>1290</v>
      </c>
      <c r="J100" s="116" t="s">
        <v>630</v>
      </c>
      <c r="K100" s="115" t="s">
        <v>13</v>
      </c>
      <c r="L100" s="116" t="s">
        <v>6</v>
      </c>
      <c r="M100" s="115">
        <v>1</v>
      </c>
      <c r="N100" s="115">
        <v>0</v>
      </c>
      <c r="O100" s="115">
        <v>0</v>
      </c>
      <c r="P100" s="115" t="s">
        <v>1293</v>
      </c>
      <c r="Q100" s="115"/>
      <c r="R100" s="70"/>
    </row>
    <row r="101" spans="1:18" s="69" customFormat="1" ht="20.25" customHeight="1" x14ac:dyDescent="0.2">
      <c r="A101" s="112" t="s">
        <v>484</v>
      </c>
      <c r="B101" s="112" t="s">
        <v>486</v>
      </c>
      <c r="C101" s="113" t="s">
        <v>485</v>
      </c>
      <c r="D101" s="112" t="s">
        <v>16</v>
      </c>
      <c r="E101" s="112" t="s">
        <v>1294</v>
      </c>
      <c r="F101" s="114">
        <v>16</v>
      </c>
      <c r="G101" s="112">
        <v>2260</v>
      </c>
      <c r="H101" s="112" t="s">
        <v>1193</v>
      </c>
      <c r="I101" s="112" t="s">
        <v>484</v>
      </c>
      <c r="J101" s="113" t="s">
        <v>483</v>
      </c>
      <c r="K101" s="112" t="s">
        <v>13</v>
      </c>
      <c r="L101" s="113" t="s">
        <v>6</v>
      </c>
      <c r="M101" s="112">
        <v>1</v>
      </c>
      <c r="N101" s="112">
        <v>0</v>
      </c>
      <c r="O101" s="112">
        <v>0</v>
      </c>
      <c r="P101" s="112" t="s">
        <v>1295</v>
      </c>
      <c r="Q101" s="112" t="s">
        <v>1045</v>
      </c>
      <c r="R101" s="70"/>
    </row>
    <row r="102" spans="1:18" s="69" customFormat="1" ht="20.25" customHeight="1" x14ac:dyDescent="0.2">
      <c r="A102" s="115" t="s">
        <v>480</v>
      </c>
      <c r="B102" s="115" t="s">
        <v>482</v>
      </c>
      <c r="C102" s="116" t="s">
        <v>481</v>
      </c>
      <c r="D102" s="115" t="s">
        <v>16</v>
      </c>
      <c r="E102" s="115" t="s">
        <v>1296</v>
      </c>
      <c r="F102" s="117">
        <v>95</v>
      </c>
      <c r="G102" s="115">
        <v>4600</v>
      </c>
      <c r="H102" s="115" t="s">
        <v>1168</v>
      </c>
      <c r="I102" s="115" t="s">
        <v>480</v>
      </c>
      <c r="J102" s="116" t="s">
        <v>479</v>
      </c>
      <c r="K102" s="115" t="s">
        <v>13</v>
      </c>
      <c r="L102" s="116" t="s">
        <v>6</v>
      </c>
      <c r="M102" s="115">
        <v>1</v>
      </c>
      <c r="N102" s="115">
        <v>0</v>
      </c>
      <c r="O102" s="115">
        <v>0</v>
      </c>
      <c r="P102" s="115" t="s">
        <v>1297</v>
      </c>
      <c r="Q102" s="115"/>
      <c r="R102" s="70"/>
    </row>
    <row r="103" spans="1:18" s="69" customFormat="1" ht="20.25" customHeight="1" x14ac:dyDescent="0.2">
      <c r="A103" s="112" t="s">
        <v>476</v>
      </c>
      <c r="B103" s="112" t="s">
        <v>478</v>
      </c>
      <c r="C103" s="113" t="s">
        <v>477</v>
      </c>
      <c r="D103" s="112" t="s">
        <v>16</v>
      </c>
      <c r="E103" s="112" t="s">
        <v>1298</v>
      </c>
      <c r="F103" s="114">
        <v>1</v>
      </c>
      <c r="G103" s="112">
        <v>4480</v>
      </c>
      <c r="H103" s="112" t="s">
        <v>1156</v>
      </c>
      <c r="I103" s="112" t="s">
        <v>476</v>
      </c>
      <c r="J103" s="113" t="s">
        <v>475</v>
      </c>
      <c r="K103" s="112" t="s">
        <v>13</v>
      </c>
      <c r="L103" s="113" t="s">
        <v>6</v>
      </c>
      <c r="M103" s="112">
        <v>1</v>
      </c>
      <c r="N103" s="112">
        <v>0</v>
      </c>
      <c r="O103" s="112">
        <v>0</v>
      </c>
      <c r="P103" s="112" t="s">
        <v>1299</v>
      </c>
      <c r="Q103" s="112"/>
      <c r="R103" s="70"/>
    </row>
    <row r="104" spans="1:18" s="69" customFormat="1" ht="20.25" customHeight="1" x14ac:dyDescent="0.2">
      <c r="A104" s="115" t="s">
        <v>472</v>
      </c>
      <c r="B104" s="115" t="s">
        <v>474</v>
      </c>
      <c r="C104" s="116" t="s">
        <v>473</v>
      </c>
      <c r="D104" s="115" t="s">
        <v>16</v>
      </c>
      <c r="E104" s="115" t="s">
        <v>1063</v>
      </c>
      <c r="F104" s="117">
        <v>10</v>
      </c>
      <c r="G104" s="115">
        <v>9000</v>
      </c>
      <c r="H104" s="115" t="s">
        <v>34</v>
      </c>
      <c r="I104" s="115" t="s">
        <v>472</v>
      </c>
      <c r="J104" s="116" t="s">
        <v>471</v>
      </c>
      <c r="K104" s="115" t="s">
        <v>13</v>
      </c>
      <c r="L104" s="116" t="s">
        <v>6</v>
      </c>
      <c r="M104" s="115">
        <v>1</v>
      </c>
      <c r="N104" s="115">
        <v>0</v>
      </c>
      <c r="O104" s="115">
        <v>0</v>
      </c>
      <c r="P104" s="115" t="s">
        <v>1300</v>
      </c>
      <c r="Q104" s="115"/>
      <c r="R104" s="70"/>
    </row>
    <row r="105" spans="1:18" s="69" customFormat="1" ht="20.25" customHeight="1" x14ac:dyDescent="0.2">
      <c r="A105" s="112" t="s">
        <v>468</v>
      </c>
      <c r="B105" s="112" t="s">
        <v>470</v>
      </c>
      <c r="C105" s="113" t="s">
        <v>469</v>
      </c>
      <c r="D105" s="112" t="s">
        <v>16</v>
      </c>
      <c r="E105" s="112" t="s">
        <v>1301</v>
      </c>
      <c r="F105" s="114" t="s">
        <v>1025</v>
      </c>
      <c r="G105" s="112">
        <v>6724</v>
      </c>
      <c r="H105" s="112" t="s">
        <v>1302</v>
      </c>
      <c r="I105" s="112" t="s">
        <v>468</v>
      </c>
      <c r="J105" s="113" t="s">
        <v>467</v>
      </c>
      <c r="K105" s="112" t="s">
        <v>13</v>
      </c>
      <c r="L105" s="113" t="s">
        <v>6</v>
      </c>
      <c r="M105" s="112">
        <v>1</v>
      </c>
      <c r="N105" s="112">
        <v>1</v>
      </c>
      <c r="O105" s="112">
        <v>1</v>
      </c>
      <c r="P105" s="112" t="s">
        <v>1303</v>
      </c>
      <c r="Q105" s="112"/>
      <c r="R105" s="70"/>
    </row>
    <row r="106" spans="1:18" s="69" customFormat="1" ht="20.25" customHeight="1" x14ac:dyDescent="0.2">
      <c r="A106" s="115" t="s">
        <v>1584</v>
      </c>
      <c r="B106" s="115" t="s">
        <v>466</v>
      </c>
      <c r="C106" s="116" t="s">
        <v>465</v>
      </c>
      <c r="D106" s="115" t="s">
        <v>16</v>
      </c>
      <c r="E106" s="115" t="s">
        <v>1304</v>
      </c>
      <c r="F106" s="117">
        <v>2</v>
      </c>
      <c r="G106" s="115">
        <v>2040</v>
      </c>
      <c r="H106" s="115" t="s">
        <v>1050</v>
      </c>
      <c r="I106" s="115" t="s">
        <v>464</v>
      </c>
      <c r="J106" s="116" t="s">
        <v>463</v>
      </c>
      <c r="K106" s="115" t="s">
        <v>13</v>
      </c>
      <c r="L106" s="116" t="s">
        <v>6</v>
      </c>
      <c r="M106" s="115">
        <v>1</v>
      </c>
      <c r="N106" s="115">
        <v>0</v>
      </c>
      <c r="O106" s="115">
        <v>0</v>
      </c>
      <c r="P106" s="115" t="s">
        <v>1305</v>
      </c>
      <c r="Q106" s="115"/>
      <c r="R106" s="70"/>
    </row>
    <row r="107" spans="1:18" s="69" customFormat="1" ht="20.25" customHeight="1" x14ac:dyDescent="0.2">
      <c r="A107" s="112" t="s">
        <v>1585</v>
      </c>
      <c r="B107" s="112" t="s">
        <v>462</v>
      </c>
      <c r="C107" s="113" t="s">
        <v>461</v>
      </c>
      <c r="D107" s="112" t="s">
        <v>16</v>
      </c>
      <c r="E107" s="112" t="s">
        <v>1306</v>
      </c>
      <c r="F107" s="114">
        <v>420</v>
      </c>
      <c r="G107" s="112">
        <v>2040</v>
      </c>
      <c r="H107" s="112" t="s">
        <v>1050</v>
      </c>
      <c r="I107" s="112" t="s">
        <v>989</v>
      </c>
      <c r="J107" s="113" t="s">
        <v>293</v>
      </c>
      <c r="K107" s="112" t="s">
        <v>7</v>
      </c>
      <c r="L107" s="113" t="s">
        <v>6</v>
      </c>
      <c r="M107" s="112">
        <v>1</v>
      </c>
      <c r="N107" s="112">
        <v>0</v>
      </c>
      <c r="O107" s="112">
        <v>0</v>
      </c>
      <c r="P107" s="112" t="s">
        <v>1307</v>
      </c>
      <c r="Q107" s="112"/>
      <c r="R107" s="70"/>
    </row>
    <row r="108" spans="1:18" s="69" customFormat="1" ht="20.25" customHeight="1" x14ac:dyDescent="0.2">
      <c r="A108" s="115" t="s">
        <v>1586</v>
      </c>
      <c r="B108" s="115" t="s">
        <v>460</v>
      </c>
      <c r="C108" s="116" t="s">
        <v>459</v>
      </c>
      <c r="D108" s="115" t="s">
        <v>16</v>
      </c>
      <c r="E108" s="115" t="s">
        <v>1308</v>
      </c>
      <c r="F108" s="117" t="s">
        <v>1309</v>
      </c>
      <c r="G108" s="115">
        <v>9130</v>
      </c>
      <c r="H108" s="115" t="s">
        <v>1120</v>
      </c>
      <c r="I108" s="115" t="s">
        <v>458</v>
      </c>
      <c r="J108" s="116" t="s">
        <v>457</v>
      </c>
      <c r="K108" s="115" t="s">
        <v>13</v>
      </c>
      <c r="L108" s="116" t="s">
        <v>6</v>
      </c>
      <c r="M108" s="115">
        <v>1</v>
      </c>
      <c r="N108" s="115">
        <v>0</v>
      </c>
      <c r="O108" s="115">
        <v>0</v>
      </c>
      <c r="P108" s="115" t="s">
        <v>1310</v>
      </c>
      <c r="Q108" s="115"/>
      <c r="R108" s="70"/>
    </row>
    <row r="109" spans="1:18" s="69" customFormat="1" ht="20.25" customHeight="1" x14ac:dyDescent="0.2">
      <c r="A109" s="112" t="s">
        <v>454</v>
      </c>
      <c r="B109" s="112" t="s">
        <v>456</v>
      </c>
      <c r="C109" s="113" t="s">
        <v>455</v>
      </c>
      <c r="D109" s="112" t="s">
        <v>16</v>
      </c>
      <c r="E109" s="112" t="s">
        <v>1311</v>
      </c>
      <c r="F109" s="114" t="s">
        <v>1025</v>
      </c>
      <c r="G109" s="112">
        <v>6900</v>
      </c>
      <c r="H109" s="112" t="s">
        <v>1312</v>
      </c>
      <c r="I109" s="112" t="s">
        <v>454</v>
      </c>
      <c r="J109" s="113" t="s">
        <v>453</v>
      </c>
      <c r="K109" s="112" t="s">
        <v>13</v>
      </c>
      <c r="L109" s="113" t="s">
        <v>6</v>
      </c>
      <c r="M109" s="112">
        <v>1</v>
      </c>
      <c r="N109" s="112">
        <v>0</v>
      </c>
      <c r="O109" s="112">
        <v>0</v>
      </c>
      <c r="P109" s="112" t="s">
        <v>1313</v>
      </c>
      <c r="Q109" s="112"/>
      <c r="R109" s="70"/>
    </row>
    <row r="110" spans="1:18" s="69" customFormat="1" ht="20.25" customHeight="1" x14ac:dyDescent="0.2">
      <c r="A110" s="162" t="s">
        <v>1600</v>
      </c>
      <c r="B110" s="162" t="s">
        <v>1601</v>
      </c>
      <c r="C110" s="163">
        <v>86131</v>
      </c>
      <c r="D110" s="162" t="s">
        <v>16</v>
      </c>
      <c r="E110" s="162" t="s">
        <v>1315</v>
      </c>
      <c r="F110" s="164">
        <v>10</v>
      </c>
      <c r="G110" s="162">
        <v>4400</v>
      </c>
      <c r="H110" s="162" t="s">
        <v>1088</v>
      </c>
      <c r="I110" s="162" t="s">
        <v>1314</v>
      </c>
      <c r="J110" s="163" t="s">
        <v>1605</v>
      </c>
      <c r="K110" s="162" t="s">
        <v>13</v>
      </c>
      <c r="L110" s="163" t="s">
        <v>6</v>
      </c>
      <c r="M110" s="162">
        <v>1</v>
      </c>
      <c r="N110" s="162">
        <v>1</v>
      </c>
      <c r="O110" s="162">
        <v>1</v>
      </c>
      <c r="P110" s="112" t="s">
        <v>1316</v>
      </c>
      <c r="Q110" s="115"/>
      <c r="R110" s="70"/>
    </row>
    <row r="111" spans="1:18" s="69" customFormat="1" ht="20.25" customHeight="1" x14ac:dyDescent="0.2">
      <c r="A111" s="112" t="s">
        <v>1587</v>
      </c>
      <c r="B111" s="112" t="s">
        <v>1317</v>
      </c>
      <c r="C111" s="113">
        <v>86121</v>
      </c>
      <c r="D111" s="112" t="s">
        <v>16</v>
      </c>
      <c r="E111" s="112" t="s">
        <v>1315</v>
      </c>
      <c r="F111" s="114">
        <v>10</v>
      </c>
      <c r="G111" s="112">
        <v>4400</v>
      </c>
      <c r="H111" s="112" t="s">
        <v>1088</v>
      </c>
      <c r="I111" s="112" t="s">
        <v>1314</v>
      </c>
      <c r="J111" s="113" t="s">
        <v>786</v>
      </c>
      <c r="K111" s="112" t="s">
        <v>13</v>
      </c>
      <c r="L111" s="113" t="s">
        <v>6</v>
      </c>
      <c r="M111" s="112">
        <v>1</v>
      </c>
      <c r="N111" s="112">
        <v>1</v>
      </c>
      <c r="O111" s="112">
        <v>1</v>
      </c>
      <c r="P111" s="112" t="s">
        <v>1316</v>
      </c>
      <c r="Q111" s="112"/>
      <c r="R111" s="70"/>
    </row>
    <row r="112" spans="1:18" s="69" customFormat="1" ht="20.25" customHeight="1" x14ac:dyDescent="0.2">
      <c r="A112" s="115" t="s">
        <v>1318</v>
      </c>
      <c r="B112" s="115" t="s">
        <v>776</v>
      </c>
      <c r="C112" s="116" t="s">
        <v>775</v>
      </c>
      <c r="D112" s="115" t="s">
        <v>16</v>
      </c>
      <c r="E112" s="115" t="s">
        <v>1083</v>
      </c>
      <c r="F112" s="117">
        <v>5</v>
      </c>
      <c r="G112" s="115">
        <v>4100</v>
      </c>
      <c r="H112" s="115" t="s">
        <v>1084</v>
      </c>
      <c r="I112" s="115" t="s">
        <v>1319</v>
      </c>
      <c r="J112" s="116" t="s">
        <v>774</v>
      </c>
      <c r="K112" s="115" t="s">
        <v>13</v>
      </c>
      <c r="L112" s="116" t="s">
        <v>6</v>
      </c>
      <c r="M112" s="115">
        <v>1</v>
      </c>
      <c r="N112" s="115">
        <v>1</v>
      </c>
      <c r="O112" s="115">
        <v>1</v>
      </c>
      <c r="P112" s="115" t="s">
        <v>1320</v>
      </c>
      <c r="Q112" s="115"/>
      <c r="R112" s="70"/>
    </row>
    <row r="113" spans="1:18" s="69" customFormat="1" ht="20.25" customHeight="1" x14ac:dyDescent="0.2">
      <c r="A113" s="162" t="s">
        <v>1618</v>
      </c>
      <c r="B113" s="162" t="s">
        <v>1624</v>
      </c>
      <c r="C113" s="163" t="s">
        <v>1625</v>
      </c>
      <c r="D113" s="162" t="s">
        <v>16</v>
      </c>
      <c r="E113" s="162" t="s">
        <v>1626</v>
      </c>
      <c r="F113" s="164" t="s">
        <v>1025</v>
      </c>
      <c r="G113" s="162">
        <v>6791</v>
      </c>
      <c r="H113" s="162" t="s">
        <v>1627</v>
      </c>
      <c r="I113" s="162" t="s">
        <v>1628</v>
      </c>
      <c r="J113" s="163" t="s">
        <v>1629</v>
      </c>
      <c r="K113" s="162" t="s">
        <v>13</v>
      </c>
      <c r="L113" s="163" t="s">
        <v>6</v>
      </c>
      <c r="M113" s="162">
        <v>1</v>
      </c>
      <c r="N113" s="162">
        <v>0</v>
      </c>
      <c r="O113" s="162">
        <v>0</v>
      </c>
      <c r="P113" s="162" t="s">
        <v>1630</v>
      </c>
      <c r="Q113" s="162"/>
      <c r="R113" s="70"/>
    </row>
    <row r="114" spans="1:18" s="69" customFormat="1" ht="20.25" customHeight="1" x14ac:dyDescent="0.2">
      <c r="A114" s="162" t="s">
        <v>1619</v>
      </c>
      <c r="B114" s="162" t="s">
        <v>1631</v>
      </c>
      <c r="C114" s="163" t="s">
        <v>1632</v>
      </c>
      <c r="D114" s="162" t="s">
        <v>16</v>
      </c>
      <c r="E114" s="162" t="s">
        <v>1633</v>
      </c>
      <c r="F114" s="164">
        <v>161</v>
      </c>
      <c r="G114" s="162">
        <v>3920</v>
      </c>
      <c r="H114" s="162" t="s">
        <v>1233</v>
      </c>
      <c r="I114" s="162" t="s">
        <v>1619</v>
      </c>
      <c r="J114" s="163" t="s">
        <v>1634</v>
      </c>
      <c r="K114" s="162" t="s">
        <v>13</v>
      </c>
      <c r="L114" s="163" t="s">
        <v>6</v>
      </c>
      <c r="M114" s="162">
        <v>1</v>
      </c>
      <c r="N114" s="162">
        <v>0</v>
      </c>
      <c r="O114" s="162">
        <v>0</v>
      </c>
      <c r="P114" s="162" t="s">
        <v>1635</v>
      </c>
      <c r="Q114" s="162"/>
      <c r="R114" s="70"/>
    </row>
    <row r="115" spans="1:18" s="69" customFormat="1" ht="20.25" customHeight="1" x14ac:dyDescent="0.2">
      <c r="A115" s="112" t="s">
        <v>450</v>
      </c>
      <c r="B115" s="112" t="s">
        <v>452</v>
      </c>
      <c r="C115" s="113" t="s">
        <v>451</v>
      </c>
      <c r="D115" s="112" t="s">
        <v>16</v>
      </c>
      <c r="E115" s="112" t="s">
        <v>1321</v>
      </c>
      <c r="F115" s="114">
        <v>5</v>
      </c>
      <c r="G115" s="112">
        <v>7900</v>
      </c>
      <c r="H115" s="112" t="s">
        <v>1322</v>
      </c>
      <c r="I115" s="112" t="s">
        <v>450</v>
      </c>
      <c r="J115" s="113" t="s">
        <v>449</v>
      </c>
      <c r="K115" s="112" t="s">
        <v>13</v>
      </c>
      <c r="L115" s="113" t="s">
        <v>6</v>
      </c>
      <c r="M115" s="112">
        <v>1</v>
      </c>
      <c r="N115" s="112">
        <v>0</v>
      </c>
      <c r="O115" s="112">
        <v>0</v>
      </c>
      <c r="P115" s="112" t="s">
        <v>1323</v>
      </c>
      <c r="Q115" s="112"/>
      <c r="R115" s="70"/>
    </row>
    <row r="116" spans="1:18" s="69" customFormat="1" ht="20.25" customHeight="1" x14ac:dyDescent="0.2">
      <c r="A116" s="115" t="s">
        <v>446</v>
      </c>
      <c r="B116" s="115" t="s">
        <v>448</v>
      </c>
      <c r="C116" s="116" t="s">
        <v>447</v>
      </c>
      <c r="D116" s="115" t="s">
        <v>16</v>
      </c>
      <c r="E116" s="115" t="s">
        <v>1324</v>
      </c>
      <c r="F116" s="117">
        <v>1</v>
      </c>
      <c r="G116" s="115">
        <v>5024</v>
      </c>
      <c r="H116" s="115" t="s">
        <v>1325</v>
      </c>
      <c r="I116" s="115" t="s">
        <v>446</v>
      </c>
      <c r="J116" s="116" t="s">
        <v>445</v>
      </c>
      <c r="K116" s="115" t="s">
        <v>13</v>
      </c>
      <c r="L116" s="116" t="s">
        <v>6</v>
      </c>
      <c r="M116" s="115">
        <v>1</v>
      </c>
      <c r="N116" s="115">
        <v>1</v>
      </c>
      <c r="O116" s="115">
        <v>1</v>
      </c>
      <c r="P116" s="115" t="s">
        <v>1326</v>
      </c>
      <c r="Q116" s="115"/>
      <c r="R116" s="70"/>
    </row>
    <row r="117" spans="1:18" s="69" customFormat="1" ht="20.25" customHeight="1" x14ac:dyDescent="0.2">
      <c r="A117" s="162" t="s">
        <v>1620</v>
      </c>
      <c r="B117" s="162" t="s">
        <v>1636</v>
      </c>
      <c r="C117" s="163" t="s">
        <v>1637</v>
      </c>
      <c r="D117" s="162" t="s">
        <v>16</v>
      </c>
      <c r="E117" s="162" t="s">
        <v>1638</v>
      </c>
      <c r="F117" s="164">
        <v>1</v>
      </c>
      <c r="G117" s="162">
        <v>6780</v>
      </c>
      <c r="H117" s="162" t="s">
        <v>1071</v>
      </c>
      <c r="I117" s="162" t="s">
        <v>1620</v>
      </c>
      <c r="J117" s="163" t="s">
        <v>1639</v>
      </c>
      <c r="K117" s="162" t="s">
        <v>13</v>
      </c>
      <c r="L117" s="163" t="s">
        <v>6</v>
      </c>
      <c r="M117" s="162">
        <v>1</v>
      </c>
      <c r="N117" s="162">
        <v>0</v>
      </c>
      <c r="O117" s="162">
        <v>0</v>
      </c>
      <c r="P117" s="162" t="s">
        <v>1640</v>
      </c>
      <c r="Q117" s="162"/>
      <c r="R117" s="70"/>
    </row>
    <row r="118" spans="1:18" s="69" customFormat="1" ht="20.25" customHeight="1" x14ac:dyDescent="0.2">
      <c r="A118" s="115" t="s">
        <v>444</v>
      </c>
      <c r="B118" s="115" t="s">
        <v>443</v>
      </c>
      <c r="C118" s="116" t="s">
        <v>442</v>
      </c>
      <c r="D118" s="115" t="s">
        <v>16</v>
      </c>
      <c r="E118" s="115" t="s">
        <v>1327</v>
      </c>
      <c r="F118" s="117">
        <v>55</v>
      </c>
      <c r="G118" s="115">
        <v>4051</v>
      </c>
      <c r="H118" s="115" t="s">
        <v>1328</v>
      </c>
      <c r="I118" s="115" t="s">
        <v>441</v>
      </c>
      <c r="J118" s="116" t="s">
        <v>440</v>
      </c>
      <c r="K118" s="115" t="s">
        <v>13</v>
      </c>
      <c r="L118" s="116" t="s">
        <v>6</v>
      </c>
      <c r="M118" s="115">
        <v>1</v>
      </c>
      <c r="N118" s="115">
        <v>1</v>
      </c>
      <c r="O118" s="115">
        <v>1</v>
      </c>
      <c r="P118" s="115" t="s">
        <v>1329</v>
      </c>
      <c r="Q118" s="115"/>
      <c r="R118" s="70"/>
    </row>
    <row r="119" spans="1:18" s="69" customFormat="1" ht="20.25" customHeight="1" x14ac:dyDescent="0.2">
      <c r="A119" s="112" t="s">
        <v>439</v>
      </c>
      <c r="B119" s="112" t="s">
        <v>438</v>
      </c>
      <c r="C119" s="113" t="s">
        <v>437</v>
      </c>
      <c r="D119" s="112" t="s">
        <v>16</v>
      </c>
      <c r="E119" s="112" t="s">
        <v>1330</v>
      </c>
      <c r="F119" s="114">
        <v>75</v>
      </c>
      <c r="G119" s="112">
        <v>4102</v>
      </c>
      <c r="H119" s="112" t="s">
        <v>1331</v>
      </c>
      <c r="I119" s="112" t="s">
        <v>436</v>
      </c>
      <c r="J119" s="113" t="s">
        <v>435</v>
      </c>
      <c r="K119" s="112" t="s">
        <v>13</v>
      </c>
      <c r="L119" s="113" t="s">
        <v>6</v>
      </c>
      <c r="M119" s="112">
        <v>1</v>
      </c>
      <c r="N119" s="112">
        <v>1</v>
      </c>
      <c r="O119" s="112">
        <v>1</v>
      </c>
      <c r="P119" s="112" t="s">
        <v>1332</v>
      </c>
      <c r="Q119" s="112"/>
      <c r="R119" s="70"/>
    </row>
    <row r="120" spans="1:18" s="69" customFormat="1" ht="20.25" customHeight="1" x14ac:dyDescent="0.2">
      <c r="A120" s="115" t="s">
        <v>432</v>
      </c>
      <c r="B120" s="115" t="s">
        <v>434</v>
      </c>
      <c r="C120" s="116" t="s">
        <v>433</v>
      </c>
      <c r="D120" s="115" t="s">
        <v>16</v>
      </c>
      <c r="E120" s="115" t="s">
        <v>1333</v>
      </c>
      <c r="F120" s="117">
        <v>2</v>
      </c>
      <c r="G120" s="115">
        <v>7011</v>
      </c>
      <c r="H120" s="115" t="s">
        <v>1334</v>
      </c>
      <c r="I120" s="115" t="s">
        <v>432</v>
      </c>
      <c r="J120" s="116" t="s">
        <v>431</v>
      </c>
      <c r="K120" s="115" t="s">
        <v>13</v>
      </c>
      <c r="L120" s="116" t="s">
        <v>6</v>
      </c>
      <c r="M120" s="115">
        <v>1</v>
      </c>
      <c r="N120" s="115">
        <v>1</v>
      </c>
      <c r="O120" s="115">
        <v>1</v>
      </c>
      <c r="P120" s="115" t="s">
        <v>1335</v>
      </c>
      <c r="Q120" s="115"/>
      <c r="R120" s="70"/>
    </row>
    <row r="121" spans="1:18" s="69" customFormat="1" ht="20.25" customHeight="1" x14ac:dyDescent="0.2">
      <c r="A121" s="162" t="s">
        <v>428</v>
      </c>
      <c r="B121" s="162" t="s">
        <v>430</v>
      </c>
      <c r="C121" s="163" t="s">
        <v>429</v>
      </c>
      <c r="D121" s="162" t="s">
        <v>16</v>
      </c>
      <c r="E121" s="162" t="s">
        <v>1336</v>
      </c>
      <c r="F121" s="164">
        <v>33</v>
      </c>
      <c r="G121" s="162">
        <v>2340</v>
      </c>
      <c r="H121" s="162" t="s">
        <v>1337</v>
      </c>
      <c r="I121" s="162" t="s">
        <v>428</v>
      </c>
      <c r="J121" s="163" t="s">
        <v>427</v>
      </c>
      <c r="K121" s="162" t="s">
        <v>13</v>
      </c>
      <c r="L121" s="163" t="s">
        <v>19</v>
      </c>
      <c r="M121" s="162">
        <v>1</v>
      </c>
      <c r="N121" s="162">
        <v>0</v>
      </c>
      <c r="O121" s="162">
        <v>0</v>
      </c>
      <c r="P121" s="162" t="s">
        <v>1338</v>
      </c>
      <c r="Q121" s="162" t="s">
        <v>1641</v>
      </c>
      <c r="R121" s="170"/>
    </row>
    <row r="122" spans="1:18" s="69" customFormat="1" ht="20.25" customHeight="1" x14ac:dyDescent="0.2">
      <c r="A122" s="115" t="s">
        <v>1581</v>
      </c>
      <c r="B122" s="115" t="s">
        <v>740</v>
      </c>
      <c r="C122" s="116" t="s">
        <v>739</v>
      </c>
      <c r="D122" s="115" t="s">
        <v>16</v>
      </c>
      <c r="E122" s="115" t="s">
        <v>1119</v>
      </c>
      <c r="F122" s="117">
        <v>141</v>
      </c>
      <c r="G122" s="115">
        <v>9120</v>
      </c>
      <c r="H122" s="115" t="s">
        <v>1120</v>
      </c>
      <c r="I122" s="115" t="s">
        <v>738</v>
      </c>
      <c r="J122" s="116" t="s">
        <v>737</v>
      </c>
      <c r="K122" s="115" t="s">
        <v>13</v>
      </c>
      <c r="L122" s="116" t="s">
        <v>6</v>
      </c>
      <c r="M122" s="115">
        <v>1</v>
      </c>
      <c r="N122" s="115">
        <v>0</v>
      </c>
      <c r="O122" s="115">
        <v>0</v>
      </c>
      <c r="P122" s="115" t="s">
        <v>1121</v>
      </c>
      <c r="Q122" s="115"/>
      <c r="R122" s="70"/>
    </row>
    <row r="123" spans="1:18" s="69" customFormat="1" ht="20.25" customHeight="1" x14ac:dyDescent="0.2">
      <c r="A123" s="112" t="s">
        <v>1580</v>
      </c>
      <c r="B123" s="112" t="s">
        <v>744</v>
      </c>
      <c r="C123" s="113" t="s">
        <v>743</v>
      </c>
      <c r="D123" s="112" t="s">
        <v>16</v>
      </c>
      <c r="E123" s="112" t="s">
        <v>1116</v>
      </c>
      <c r="F123" s="114">
        <v>10</v>
      </c>
      <c r="G123" s="112">
        <v>8920</v>
      </c>
      <c r="H123" s="112" t="s">
        <v>1117</v>
      </c>
      <c r="I123" s="112" t="s">
        <v>742</v>
      </c>
      <c r="J123" s="113" t="s">
        <v>741</v>
      </c>
      <c r="K123" s="112" t="s">
        <v>13</v>
      </c>
      <c r="L123" s="113" t="s">
        <v>6</v>
      </c>
      <c r="M123" s="112">
        <v>1</v>
      </c>
      <c r="N123" s="112">
        <v>0</v>
      </c>
      <c r="O123" s="112">
        <v>0</v>
      </c>
      <c r="P123" s="112" t="s">
        <v>1118</v>
      </c>
      <c r="Q123" s="112"/>
      <c r="R123" s="70"/>
    </row>
    <row r="124" spans="1:18" s="69" customFormat="1" ht="20.25" customHeight="1" x14ac:dyDescent="0.2">
      <c r="A124" s="115" t="s">
        <v>1594</v>
      </c>
      <c r="B124" s="115" t="s">
        <v>216</v>
      </c>
      <c r="C124" s="116" t="s">
        <v>215</v>
      </c>
      <c r="D124" s="115" t="s">
        <v>16</v>
      </c>
      <c r="E124" s="115" t="s">
        <v>1063</v>
      </c>
      <c r="F124" s="117">
        <v>13</v>
      </c>
      <c r="G124" s="115">
        <v>9000</v>
      </c>
      <c r="H124" s="115" t="s">
        <v>34</v>
      </c>
      <c r="I124" s="115" t="s">
        <v>214</v>
      </c>
      <c r="J124" s="116" t="s">
        <v>213</v>
      </c>
      <c r="K124" s="115" t="s">
        <v>13</v>
      </c>
      <c r="L124" s="116" t="s">
        <v>6</v>
      </c>
      <c r="M124" s="115">
        <v>1</v>
      </c>
      <c r="N124" s="115">
        <v>0</v>
      </c>
      <c r="O124" s="115">
        <v>0</v>
      </c>
      <c r="P124" s="115" t="s">
        <v>1462</v>
      </c>
      <c r="Q124" s="115"/>
      <c r="R124" s="70"/>
    </row>
    <row r="125" spans="1:18" s="69" customFormat="1" ht="20.25" customHeight="1" x14ac:dyDescent="0.2">
      <c r="A125" s="115" t="s">
        <v>424</v>
      </c>
      <c r="B125" s="115" t="s">
        <v>426</v>
      </c>
      <c r="C125" s="116" t="s">
        <v>425</v>
      </c>
      <c r="D125" s="115" t="s">
        <v>16</v>
      </c>
      <c r="E125" s="115" t="s">
        <v>1339</v>
      </c>
      <c r="F125" s="117">
        <v>1</v>
      </c>
      <c r="G125" s="115">
        <v>2200</v>
      </c>
      <c r="H125" s="115" t="s">
        <v>1287</v>
      </c>
      <c r="I125" s="115" t="s">
        <v>424</v>
      </c>
      <c r="J125" s="116" t="s">
        <v>423</v>
      </c>
      <c r="K125" s="115" t="s">
        <v>13</v>
      </c>
      <c r="L125" s="116" t="s">
        <v>6</v>
      </c>
      <c r="M125" s="115">
        <v>1</v>
      </c>
      <c r="N125" s="115">
        <v>0</v>
      </c>
      <c r="O125" s="115">
        <v>0</v>
      </c>
      <c r="P125" s="115" t="s">
        <v>1340</v>
      </c>
      <c r="Q125" s="115" t="s">
        <v>1611</v>
      </c>
      <c r="R125" s="70"/>
    </row>
    <row r="126" spans="1:18" s="69" customFormat="1" ht="20.25" customHeight="1" x14ac:dyDescent="0.2">
      <c r="A126" s="112" t="s">
        <v>417</v>
      </c>
      <c r="B126" s="112" t="s">
        <v>419</v>
      </c>
      <c r="C126" s="113" t="s">
        <v>418</v>
      </c>
      <c r="D126" s="112" t="s">
        <v>16</v>
      </c>
      <c r="E126" s="112" t="s">
        <v>1341</v>
      </c>
      <c r="F126" s="114">
        <v>3</v>
      </c>
      <c r="G126" s="112">
        <v>9130</v>
      </c>
      <c r="H126" s="112" t="s">
        <v>1342</v>
      </c>
      <c r="I126" s="112" t="s">
        <v>417</v>
      </c>
      <c r="J126" s="113" t="s">
        <v>416</v>
      </c>
      <c r="K126" s="112" t="s">
        <v>13</v>
      </c>
      <c r="L126" s="113" t="s">
        <v>6</v>
      </c>
      <c r="M126" s="112">
        <v>1</v>
      </c>
      <c r="N126" s="112">
        <v>0</v>
      </c>
      <c r="O126" s="112">
        <v>0</v>
      </c>
      <c r="P126" s="112" t="s">
        <v>1343</v>
      </c>
      <c r="Q126" s="112"/>
      <c r="R126" s="70"/>
    </row>
    <row r="127" spans="1:18" s="69" customFormat="1" ht="20.25" customHeight="1" x14ac:dyDescent="0.2">
      <c r="A127" s="115" t="s">
        <v>413</v>
      </c>
      <c r="B127" s="115" t="s">
        <v>415</v>
      </c>
      <c r="C127" s="116" t="s">
        <v>414</v>
      </c>
      <c r="D127" s="115" t="s">
        <v>16</v>
      </c>
      <c r="E127" s="115" t="s">
        <v>1344</v>
      </c>
      <c r="F127" s="117" t="s">
        <v>1025</v>
      </c>
      <c r="G127" s="115">
        <v>2870</v>
      </c>
      <c r="H127" s="115" t="s">
        <v>1345</v>
      </c>
      <c r="I127" s="115" t="s">
        <v>413</v>
      </c>
      <c r="J127" s="116" t="s">
        <v>412</v>
      </c>
      <c r="K127" s="115" t="s">
        <v>13</v>
      </c>
      <c r="L127" s="113" t="s">
        <v>6</v>
      </c>
      <c r="M127" s="115">
        <v>1</v>
      </c>
      <c r="N127" s="115">
        <v>1</v>
      </c>
      <c r="O127" s="115">
        <v>0</v>
      </c>
      <c r="P127" s="115" t="s">
        <v>1346</v>
      </c>
      <c r="Q127" s="167" t="s">
        <v>1609</v>
      </c>
      <c r="R127" s="70"/>
    </row>
    <row r="128" spans="1:18" s="69" customFormat="1" ht="20.25" customHeight="1" x14ac:dyDescent="0.2">
      <c r="A128" s="115" t="s">
        <v>1596</v>
      </c>
      <c r="B128" s="115" t="s">
        <v>65</v>
      </c>
      <c r="C128" s="116" t="s">
        <v>64</v>
      </c>
      <c r="D128" s="115" t="s">
        <v>16</v>
      </c>
      <c r="E128" s="115" t="s">
        <v>1545</v>
      </c>
      <c r="F128" s="117">
        <v>1</v>
      </c>
      <c r="G128" s="115">
        <v>3150</v>
      </c>
      <c r="H128" s="115" t="s">
        <v>1546</v>
      </c>
      <c r="I128" s="115" t="s">
        <v>63</v>
      </c>
      <c r="J128" s="116" t="s">
        <v>62</v>
      </c>
      <c r="K128" s="115" t="s">
        <v>13</v>
      </c>
      <c r="L128" s="116" t="s">
        <v>6</v>
      </c>
      <c r="M128" s="115">
        <v>1</v>
      </c>
      <c r="N128" s="115">
        <v>0</v>
      </c>
      <c r="O128" s="115">
        <v>0</v>
      </c>
      <c r="P128" s="115" t="s">
        <v>1547</v>
      </c>
      <c r="Q128" s="115" t="s">
        <v>1611</v>
      </c>
      <c r="R128" s="70"/>
    </row>
    <row r="129" spans="1:18" s="69" customFormat="1" ht="20.25" customHeight="1" x14ac:dyDescent="0.2">
      <c r="A129" s="112" t="s">
        <v>409</v>
      </c>
      <c r="B129" s="112" t="s">
        <v>411</v>
      </c>
      <c r="C129" s="113" t="s">
        <v>410</v>
      </c>
      <c r="D129" s="112" t="s">
        <v>16</v>
      </c>
      <c r="E129" s="112" t="s">
        <v>1347</v>
      </c>
      <c r="F129" s="114">
        <v>1</v>
      </c>
      <c r="G129" s="112">
        <v>7331</v>
      </c>
      <c r="H129" s="112" t="s">
        <v>1240</v>
      </c>
      <c r="I129" s="112" t="s">
        <v>409</v>
      </c>
      <c r="J129" s="113" t="s">
        <v>408</v>
      </c>
      <c r="K129" s="112" t="s">
        <v>13</v>
      </c>
      <c r="L129" s="113" t="s">
        <v>6</v>
      </c>
      <c r="M129" s="112">
        <v>1</v>
      </c>
      <c r="N129" s="112">
        <v>1</v>
      </c>
      <c r="O129" s="112">
        <v>1</v>
      </c>
      <c r="P129" s="112" t="s">
        <v>1348</v>
      </c>
      <c r="Q129" s="112"/>
      <c r="R129" s="70"/>
    </row>
    <row r="130" spans="1:18" s="69" customFormat="1" ht="20.25" customHeight="1" x14ac:dyDescent="0.2">
      <c r="A130" s="115" t="s">
        <v>1349</v>
      </c>
      <c r="B130" s="115" t="s">
        <v>239</v>
      </c>
      <c r="C130" s="116" t="s">
        <v>238</v>
      </c>
      <c r="D130" s="115" t="s">
        <v>16</v>
      </c>
      <c r="E130" s="115" t="s">
        <v>1350</v>
      </c>
      <c r="F130" s="117">
        <v>17</v>
      </c>
      <c r="G130" s="115">
        <v>2900</v>
      </c>
      <c r="H130" s="115" t="s">
        <v>1351</v>
      </c>
      <c r="I130" s="115" t="s">
        <v>1349</v>
      </c>
      <c r="J130" s="116" t="s">
        <v>237</v>
      </c>
      <c r="K130" s="115" t="s">
        <v>13</v>
      </c>
      <c r="L130" s="116" t="s">
        <v>6</v>
      </c>
      <c r="M130" s="115">
        <v>1</v>
      </c>
      <c r="N130" s="115">
        <v>0</v>
      </c>
      <c r="O130" s="115">
        <v>0</v>
      </c>
      <c r="P130" s="115" t="s">
        <v>1352</v>
      </c>
      <c r="Q130" s="115"/>
      <c r="R130" s="70"/>
    </row>
    <row r="131" spans="1:18" s="69" customFormat="1" ht="20.25" customHeight="1" x14ac:dyDescent="0.2">
      <c r="A131" s="112" t="s">
        <v>405</v>
      </c>
      <c r="B131" s="112" t="s">
        <v>407</v>
      </c>
      <c r="C131" s="113" t="s">
        <v>406</v>
      </c>
      <c r="D131" s="112" t="s">
        <v>16</v>
      </c>
      <c r="E131" s="112" t="s">
        <v>1353</v>
      </c>
      <c r="F131" s="114">
        <v>22</v>
      </c>
      <c r="G131" s="112">
        <v>3600</v>
      </c>
      <c r="H131" s="112" t="s">
        <v>1077</v>
      </c>
      <c r="I131" s="112" t="s">
        <v>405</v>
      </c>
      <c r="J131" s="113" t="s">
        <v>404</v>
      </c>
      <c r="K131" s="112" t="s">
        <v>13</v>
      </c>
      <c r="L131" s="113" t="s">
        <v>6</v>
      </c>
      <c r="M131" s="112">
        <v>1</v>
      </c>
      <c r="N131" s="112">
        <v>1</v>
      </c>
      <c r="O131" s="112">
        <v>0</v>
      </c>
      <c r="P131" s="112" t="s">
        <v>1354</v>
      </c>
      <c r="Q131" s="112"/>
      <c r="R131" s="70"/>
    </row>
    <row r="132" spans="1:18" s="69" customFormat="1" ht="20.25" customHeight="1" x14ac:dyDescent="0.2">
      <c r="A132" s="115" t="s">
        <v>401</v>
      </c>
      <c r="B132" s="115" t="s">
        <v>403</v>
      </c>
      <c r="C132" s="116" t="s">
        <v>402</v>
      </c>
      <c r="D132" s="115" t="s">
        <v>16</v>
      </c>
      <c r="E132" s="115" t="s">
        <v>1355</v>
      </c>
      <c r="F132" s="117">
        <v>101</v>
      </c>
      <c r="G132" s="115">
        <v>1460</v>
      </c>
      <c r="H132" s="115" t="s">
        <v>1356</v>
      </c>
      <c r="I132" s="115" t="s">
        <v>401</v>
      </c>
      <c r="J132" s="116" t="s">
        <v>400</v>
      </c>
      <c r="K132" s="115" t="s">
        <v>13</v>
      </c>
      <c r="L132" s="116" t="s">
        <v>19</v>
      </c>
      <c r="M132" s="115">
        <v>1</v>
      </c>
      <c r="N132" s="115">
        <v>0</v>
      </c>
      <c r="O132" s="115">
        <v>0</v>
      </c>
      <c r="P132" s="115" t="s">
        <v>1357</v>
      </c>
      <c r="Q132" s="115"/>
      <c r="R132" s="70"/>
    </row>
    <row r="133" spans="1:18" s="69" customFormat="1" ht="20.25" customHeight="1" x14ac:dyDescent="0.2">
      <c r="A133" s="112" t="s">
        <v>1589</v>
      </c>
      <c r="B133" s="112" t="s">
        <v>399</v>
      </c>
      <c r="C133" s="113" t="s">
        <v>398</v>
      </c>
      <c r="D133" s="112" t="s">
        <v>16</v>
      </c>
      <c r="E133" s="112" t="s">
        <v>1358</v>
      </c>
      <c r="F133" s="114">
        <v>2</v>
      </c>
      <c r="G133" s="112">
        <v>7100</v>
      </c>
      <c r="H133" s="112" t="s">
        <v>1359</v>
      </c>
      <c r="I133" s="112" t="s">
        <v>397</v>
      </c>
      <c r="J133" s="113" t="s">
        <v>396</v>
      </c>
      <c r="K133" s="112" t="s">
        <v>13</v>
      </c>
      <c r="L133" s="113" t="s">
        <v>6</v>
      </c>
      <c r="M133" s="112">
        <v>1</v>
      </c>
      <c r="N133" s="112">
        <v>0</v>
      </c>
      <c r="O133" s="112">
        <v>0</v>
      </c>
      <c r="P133" s="112" t="s">
        <v>1360</v>
      </c>
      <c r="Q133" s="112"/>
      <c r="R133" s="70"/>
    </row>
    <row r="134" spans="1:18" s="69" customFormat="1" ht="20.25" customHeight="1" x14ac:dyDescent="0.2">
      <c r="A134" s="115" t="s">
        <v>393</v>
      </c>
      <c r="B134" s="115" t="s">
        <v>395</v>
      </c>
      <c r="C134" s="116" t="s">
        <v>394</v>
      </c>
      <c r="D134" s="115" t="s">
        <v>16</v>
      </c>
      <c r="E134" s="115" t="s">
        <v>1353</v>
      </c>
      <c r="F134" s="117">
        <v>33</v>
      </c>
      <c r="G134" s="115">
        <v>3600</v>
      </c>
      <c r="H134" s="115" t="s">
        <v>1077</v>
      </c>
      <c r="I134" s="115" t="s">
        <v>393</v>
      </c>
      <c r="J134" s="116" t="s">
        <v>392</v>
      </c>
      <c r="K134" s="115" t="s">
        <v>13</v>
      </c>
      <c r="L134" s="116" t="s">
        <v>6</v>
      </c>
      <c r="M134" s="115">
        <v>1</v>
      </c>
      <c r="N134" s="115">
        <v>0</v>
      </c>
      <c r="O134" s="115">
        <v>0</v>
      </c>
      <c r="P134" s="115" t="s">
        <v>1361</v>
      </c>
      <c r="Q134" s="115"/>
      <c r="R134" s="70"/>
    </row>
    <row r="135" spans="1:18" s="69" customFormat="1" ht="20.25" customHeight="1" x14ac:dyDescent="0.2">
      <c r="A135" s="112" t="s">
        <v>1362</v>
      </c>
      <c r="B135" s="112" t="s">
        <v>823</v>
      </c>
      <c r="C135" s="113" t="s">
        <v>822</v>
      </c>
      <c r="D135" s="112" t="s">
        <v>16</v>
      </c>
      <c r="E135" s="112" t="s">
        <v>1363</v>
      </c>
      <c r="F135" s="114" t="s">
        <v>1025</v>
      </c>
      <c r="G135" s="112">
        <v>7011</v>
      </c>
      <c r="H135" s="112" t="s">
        <v>1334</v>
      </c>
      <c r="I135" s="112" t="s">
        <v>1362</v>
      </c>
      <c r="J135" s="113" t="s">
        <v>821</v>
      </c>
      <c r="K135" s="112" t="s">
        <v>13</v>
      </c>
      <c r="L135" s="113" t="s">
        <v>6</v>
      </c>
      <c r="M135" s="112">
        <v>1</v>
      </c>
      <c r="N135" s="112">
        <v>0</v>
      </c>
      <c r="O135" s="112">
        <v>0</v>
      </c>
      <c r="P135" s="112" t="s">
        <v>1364</v>
      </c>
      <c r="Q135" s="112"/>
      <c r="R135" s="70"/>
    </row>
    <row r="136" spans="1:18" s="69" customFormat="1" ht="20.25" customHeight="1" x14ac:dyDescent="0.2">
      <c r="A136" s="115" t="s">
        <v>389</v>
      </c>
      <c r="B136" s="115" t="s">
        <v>391</v>
      </c>
      <c r="C136" s="116" t="s">
        <v>390</v>
      </c>
      <c r="D136" s="115" t="s">
        <v>16</v>
      </c>
      <c r="E136" s="115" t="s">
        <v>1365</v>
      </c>
      <c r="F136" s="117">
        <v>1</v>
      </c>
      <c r="G136" s="115">
        <v>2490</v>
      </c>
      <c r="H136" s="115" t="s">
        <v>1366</v>
      </c>
      <c r="I136" s="115" t="s">
        <v>389</v>
      </c>
      <c r="J136" s="116" t="s">
        <v>388</v>
      </c>
      <c r="K136" s="115" t="s">
        <v>13</v>
      </c>
      <c r="L136" s="116" t="s">
        <v>6</v>
      </c>
      <c r="M136" s="115">
        <v>1</v>
      </c>
      <c r="N136" s="115">
        <v>0</v>
      </c>
      <c r="O136" s="115">
        <v>0</v>
      </c>
      <c r="P136" s="115" t="s">
        <v>1367</v>
      </c>
      <c r="Q136" s="115" t="s">
        <v>1045</v>
      </c>
      <c r="R136" s="70"/>
    </row>
    <row r="137" spans="1:18" s="69" customFormat="1" ht="20.25" customHeight="1" x14ac:dyDescent="0.2">
      <c r="A137" s="115" t="s">
        <v>349</v>
      </c>
      <c r="B137" s="115" t="s">
        <v>383</v>
      </c>
      <c r="C137" s="116" t="s">
        <v>382</v>
      </c>
      <c r="D137" s="115" t="s">
        <v>16</v>
      </c>
      <c r="E137" s="115" t="s">
        <v>1370</v>
      </c>
      <c r="F137" s="117">
        <v>2</v>
      </c>
      <c r="G137" s="115">
        <v>9940</v>
      </c>
      <c r="H137" s="115" t="s">
        <v>1371</v>
      </c>
      <c r="I137" s="115" t="s">
        <v>349</v>
      </c>
      <c r="J137" s="116" t="s">
        <v>348</v>
      </c>
      <c r="K137" s="115" t="s">
        <v>13</v>
      </c>
      <c r="L137" s="116" t="s">
        <v>6</v>
      </c>
      <c r="M137" s="115">
        <v>1</v>
      </c>
      <c r="N137" s="115">
        <v>0</v>
      </c>
      <c r="O137" s="115">
        <v>0</v>
      </c>
      <c r="P137" s="115" t="s">
        <v>1372</v>
      </c>
      <c r="Q137" s="115"/>
      <c r="R137" s="70"/>
    </row>
    <row r="138" spans="1:18" s="69" customFormat="1" ht="20.25" customHeight="1" x14ac:dyDescent="0.2">
      <c r="A138" s="112" t="s">
        <v>379</v>
      </c>
      <c r="B138" s="112" t="s">
        <v>381</v>
      </c>
      <c r="C138" s="113" t="s">
        <v>380</v>
      </c>
      <c r="D138" s="112" t="s">
        <v>16</v>
      </c>
      <c r="E138" s="112" t="s">
        <v>1373</v>
      </c>
      <c r="F138" s="114" t="s">
        <v>1374</v>
      </c>
      <c r="G138" s="112">
        <v>7022</v>
      </c>
      <c r="H138" s="112" t="s">
        <v>1375</v>
      </c>
      <c r="I138" s="112" t="s">
        <v>379</v>
      </c>
      <c r="J138" s="113" t="s">
        <v>378</v>
      </c>
      <c r="K138" s="112" t="s">
        <v>13</v>
      </c>
      <c r="L138" s="113" t="s">
        <v>6</v>
      </c>
      <c r="M138" s="112">
        <v>1</v>
      </c>
      <c r="N138" s="112">
        <v>0</v>
      </c>
      <c r="O138" s="112">
        <v>0</v>
      </c>
      <c r="P138" s="112" t="s">
        <v>1376</v>
      </c>
      <c r="Q138" s="112"/>
      <c r="R138" s="70"/>
    </row>
    <row r="139" spans="1:18" s="69" customFormat="1" ht="20.25" customHeight="1" x14ac:dyDescent="0.2">
      <c r="A139" s="115" t="s">
        <v>375</v>
      </c>
      <c r="B139" s="115" t="s">
        <v>377</v>
      </c>
      <c r="C139" s="116" t="s">
        <v>376</v>
      </c>
      <c r="D139" s="115" t="s">
        <v>16</v>
      </c>
      <c r="E139" s="115" t="s">
        <v>1377</v>
      </c>
      <c r="F139" s="117">
        <v>1</v>
      </c>
      <c r="G139" s="115">
        <v>4360</v>
      </c>
      <c r="H139" s="115" t="s">
        <v>1378</v>
      </c>
      <c r="I139" s="115" t="s">
        <v>375</v>
      </c>
      <c r="J139" s="116" t="s">
        <v>374</v>
      </c>
      <c r="K139" s="115" t="s">
        <v>13</v>
      </c>
      <c r="L139" s="116" t="s">
        <v>6</v>
      </c>
      <c r="M139" s="115">
        <v>1</v>
      </c>
      <c r="N139" s="115">
        <v>0</v>
      </c>
      <c r="O139" s="115">
        <v>0</v>
      </c>
      <c r="P139" s="115" t="s">
        <v>1379</v>
      </c>
      <c r="Q139" s="115"/>
      <c r="R139" s="70"/>
    </row>
    <row r="140" spans="1:18" s="69" customFormat="1" ht="20.25" customHeight="1" x14ac:dyDescent="0.2">
      <c r="A140" s="112" t="s">
        <v>976</v>
      </c>
      <c r="B140" s="112" t="s">
        <v>230</v>
      </c>
      <c r="C140" s="113" t="s">
        <v>229</v>
      </c>
      <c r="D140" s="112" t="s">
        <v>16</v>
      </c>
      <c r="E140" s="112" t="s">
        <v>1380</v>
      </c>
      <c r="F140" s="114">
        <v>123</v>
      </c>
      <c r="G140" s="112">
        <v>8400</v>
      </c>
      <c r="H140" s="112" t="s">
        <v>1381</v>
      </c>
      <c r="I140" s="112" t="s">
        <v>976</v>
      </c>
      <c r="J140" s="113" t="s">
        <v>228</v>
      </c>
      <c r="K140" s="112" t="s">
        <v>13</v>
      </c>
      <c r="L140" s="113" t="s">
        <v>6</v>
      </c>
      <c r="M140" s="112">
        <v>1</v>
      </c>
      <c r="N140" s="112">
        <v>0</v>
      </c>
      <c r="O140" s="112">
        <v>0</v>
      </c>
      <c r="P140" s="112" t="s">
        <v>1382</v>
      </c>
      <c r="Q140" s="112"/>
      <c r="R140" s="70"/>
    </row>
    <row r="141" spans="1:18" s="69" customFormat="1" ht="20.25" customHeight="1" x14ac:dyDescent="0.2">
      <c r="A141" s="112" t="s">
        <v>367</v>
      </c>
      <c r="B141" s="112" t="s">
        <v>369</v>
      </c>
      <c r="C141" s="113" t="s">
        <v>368</v>
      </c>
      <c r="D141" s="112" t="s">
        <v>16</v>
      </c>
      <c r="E141" s="112" t="s">
        <v>1385</v>
      </c>
      <c r="F141" s="114">
        <v>1</v>
      </c>
      <c r="G141" s="112">
        <v>3980</v>
      </c>
      <c r="H141" s="112" t="s">
        <v>1178</v>
      </c>
      <c r="I141" s="112" t="s">
        <v>367</v>
      </c>
      <c r="J141" s="113" t="s">
        <v>366</v>
      </c>
      <c r="K141" s="112" t="s">
        <v>13</v>
      </c>
      <c r="L141" s="113" t="s">
        <v>19</v>
      </c>
      <c r="M141" s="112">
        <v>1</v>
      </c>
      <c r="N141" s="112">
        <v>1</v>
      </c>
      <c r="O141" s="112">
        <v>0</v>
      </c>
      <c r="P141" s="112" t="s">
        <v>1386</v>
      </c>
      <c r="Q141" s="112"/>
      <c r="R141" s="70"/>
    </row>
    <row r="142" spans="1:18" s="69" customFormat="1" ht="20.25" customHeight="1" x14ac:dyDescent="0.2">
      <c r="A142" s="115" t="s">
        <v>365</v>
      </c>
      <c r="B142" s="115" t="s">
        <v>364</v>
      </c>
      <c r="C142" s="116" t="s">
        <v>363</v>
      </c>
      <c r="D142" s="115" t="s">
        <v>92</v>
      </c>
      <c r="E142" s="115" t="s">
        <v>1061</v>
      </c>
      <c r="F142" s="117">
        <v>1</v>
      </c>
      <c r="G142" s="115">
        <v>9042</v>
      </c>
      <c r="H142" s="115" t="s">
        <v>34</v>
      </c>
      <c r="I142" s="115" t="s">
        <v>362</v>
      </c>
      <c r="J142" s="116" t="s">
        <v>361</v>
      </c>
      <c r="K142" s="115" t="s">
        <v>13</v>
      </c>
      <c r="L142" s="116" t="s">
        <v>6</v>
      </c>
      <c r="M142" s="115">
        <v>1</v>
      </c>
      <c r="N142" s="115">
        <v>0</v>
      </c>
      <c r="O142" s="115">
        <v>0</v>
      </c>
      <c r="P142" s="115" t="s">
        <v>1062</v>
      </c>
      <c r="Q142" s="115"/>
      <c r="R142" s="70"/>
    </row>
    <row r="143" spans="1:18" s="69" customFormat="1" ht="20.25" customHeight="1" x14ac:dyDescent="0.2">
      <c r="A143" s="112" t="s">
        <v>358</v>
      </c>
      <c r="B143" s="112" t="s">
        <v>360</v>
      </c>
      <c r="C143" s="113" t="s">
        <v>359</v>
      </c>
      <c r="D143" s="112" t="s">
        <v>92</v>
      </c>
      <c r="E143" s="112" t="s">
        <v>1387</v>
      </c>
      <c r="F143" s="114">
        <v>12</v>
      </c>
      <c r="G143" s="112">
        <v>8870</v>
      </c>
      <c r="H143" s="112" t="s">
        <v>1388</v>
      </c>
      <c r="I143" s="112" t="s">
        <v>358</v>
      </c>
      <c r="J143" s="113" t="s">
        <v>357</v>
      </c>
      <c r="K143" s="112" t="s">
        <v>7</v>
      </c>
      <c r="L143" s="113" t="s">
        <v>6</v>
      </c>
      <c r="M143" s="112">
        <v>1</v>
      </c>
      <c r="N143" s="112">
        <v>0</v>
      </c>
      <c r="O143" s="112">
        <v>0</v>
      </c>
      <c r="P143" s="112" t="s">
        <v>1389</v>
      </c>
      <c r="Q143" s="112"/>
      <c r="R143" s="70"/>
    </row>
    <row r="144" spans="1:18" s="69" customFormat="1" ht="20.25" customHeight="1" x14ac:dyDescent="0.2">
      <c r="A144" s="115" t="s">
        <v>354</v>
      </c>
      <c r="B144" s="115" t="s">
        <v>356</v>
      </c>
      <c r="C144" s="116" t="s">
        <v>355</v>
      </c>
      <c r="D144" s="115" t="s">
        <v>92</v>
      </c>
      <c r="E144" s="115" t="s">
        <v>1390</v>
      </c>
      <c r="F144" s="117">
        <v>490</v>
      </c>
      <c r="G144" s="115">
        <v>2040</v>
      </c>
      <c r="H144" s="115" t="s">
        <v>1050</v>
      </c>
      <c r="I144" s="115" t="s">
        <v>354</v>
      </c>
      <c r="J144" s="116" t="s">
        <v>353</v>
      </c>
      <c r="K144" s="115" t="s">
        <v>7</v>
      </c>
      <c r="L144" s="116" t="s">
        <v>6</v>
      </c>
      <c r="M144" s="115">
        <v>1</v>
      </c>
      <c r="N144" s="115">
        <v>0</v>
      </c>
      <c r="O144" s="115">
        <v>0</v>
      </c>
      <c r="P144" s="115" t="s">
        <v>1391</v>
      </c>
      <c r="Q144" s="115"/>
      <c r="R144" s="70"/>
    </row>
    <row r="145" spans="1:18" s="69" customFormat="1" ht="20.25" customHeight="1" x14ac:dyDescent="0.2">
      <c r="A145" s="112" t="s">
        <v>352</v>
      </c>
      <c r="B145" s="112" t="s">
        <v>351</v>
      </c>
      <c r="C145" s="113" t="s">
        <v>350</v>
      </c>
      <c r="D145" s="112" t="s">
        <v>92</v>
      </c>
      <c r="E145" s="112" t="s">
        <v>1370</v>
      </c>
      <c r="F145" s="114">
        <v>2</v>
      </c>
      <c r="G145" s="112">
        <v>9940</v>
      </c>
      <c r="H145" s="112" t="s">
        <v>1371</v>
      </c>
      <c r="I145" s="112" t="s">
        <v>349</v>
      </c>
      <c r="J145" s="113" t="s">
        <v>348</v>
      </c>
      <c r="K145" s="112" t="s">
        <v>13</v>
      </c>
      <c r="L145" s="113" t="s">
        <v>6</v>
      </c>
      <c r="M145" s="112">
        <v>1</v>
      </c>
      <c r="N145" s="112">
        <v>0</v>
      </c>
      <c r="O145" s="112">
        <v>0</v>
      </c>
      <c r="P145" s="112" t="s">
        <v>1372</v>
      </c>
      <c r="Q145" s="112"/>
      <c r="R145" s="70"/>
    </row>
    <row r="146" spans="1:18" s="69" customFormat="1" ht="20.25" customHeight="1" x14ac:dyDescent="0.2">
      <c r="A146" s="115" t="s">
        <v>347</v>
      </c>
      <c r="B146" s="115" t="s">
        <v>346</v>
      </c>
      <c r="C146" s="116" t="s">
        <v>345</v>
      </c>
      <c r="D146" s="115" t="s">
        <v>92</v>
      </c>
      <c r="E146" s="115" t="s">
        <v>1392</v>
      </c>
      <c r="F146" s="117">
        <v>4</v>
      </c>
      <c r="G146" s="115">
        <v>9300</v>
      </c>
      <c r="H146" s="115" t="s">
        <v>1393</v>
      </c>
      <c r="I146" s="115" t="s">
        <v>120</v>
      </c>
      <c r="J146" s="116" t="s">
        <v>119</v>
      </c>
      <c r="K146" s="115" t="s">
        <v>7</v>
      </c>
      <c r="L146" s="116" t="s">
        <v>6</v>
      </c>
      <c r="M146" s="115">
        <v>1</v>
      </c>
      <c r="N146" s="115">
        <v>0</v>
      </c>
      <c r="O146" s="115">
        <v>0</v>
      </c>
      <c r="P146" s="115" t="s">
        <v>1394</v>
      </c>
      <c r="Q146" s="115"/>
      <c r="R146" s="70"/>
    </row>
    <row r="147" spans="1:18" s="69" customFormat="1" ht="20.25" customHeight="1" x14ac:dyDescent="0.2">
      <c r="A147" s="112" t="s">
        <v>344</v>
      </c>
      <c r="B147" s="112" t="s">
        <v>343</v>
      </c>
      <c r="C147" s="113" t="s">
        <v>342</v>
      </c>
      <c r="D147" s="112" t="s">
        <v>10</v>
      </c>
      <c r="E147" s="112" t="s">
        <v>1395</v>
      </c>
      <c r="F147" s="114">
        <v>1</v>
      </c>
      <c r="G147" s="112">
        <v>1620</v>
      </c>
      <c r="H147" s="112" t="s">
        <v>1396</v>
      </c>
      <c r="I147" s="112" t="s">
        <v>341</v>
      </c>
      <c r="J147" s="113" t="s">
        <v>340</v>
      </c>
      <c r="K147" s="112" t="s">
        <v>7</v>
      </c>
      <c r="L147" s="113" t="s">
        <v>6</v>
      </c>
      <c r="M147" s="112">
        <v>1</v>
      </c>
      <c r="N147" s="112">
        <v>0</v>
      </c>
      <c r="O147" s="112">
        <v>0</v>
      </c>
      <c r="P147" s="112" t="s">
        <v>1397</v>
      </c>
      <c r="Q147" s="112"/>
      <c r="R147" s="70"/>
    </row>
    <row r="148" spans="1:18" s="69" customFormat="1" ht="20.25" customHeight="1" x14ac:dyDescent="0.2">
      <c r="A148" s="115" t="s">
        <v>337</v>
      </c>
      <c r="B148" s="115" t="s">
        <v>339</v>
      </c>
      <c r="C148" s="116" t="s">
        <v>338</v>
      </c>
      <c r="D148" s="115" t="s">
        <v>10</v>
      </c>
      <c r="E148" s="115" t="s">
        <v>1398</v>
      </c>
      <c r="F148" s="117">
        <v>3</v>
      </c>
      <c r="G148" s="115">
        <v>9042</v>
      </c>
      <c r="H148" s="115" t="s">
        <v>1399</v>
      </c>
      <c r="I148" s="115" t="s">
        <v>337</v>
      </c>
      <c r="J148" s="116" t="s">
        <v>336</v>
      </c>
      <c r="K148" s="115" t="s">
        <v>7</v>
      </c>
      <c r="L148" s="116" t="s">
        <v>6</v>
      </c>
      <c r="M148" s="115">
        <v>1</v>
      </c>
      <c r="N148" s="115">
        <v>0</v>
      </c>
      <c r="O148" s="115">
        <v>0</v>
      </c>
      <c r="P148" s="115" t="s">
        <v>1400</v>
      </c>
      <c r="Q148" s="115"/>
      <c r="R148" s="70"/>
    </row>
    <row r="149" spans="1:18" s="69" customFormat="1" ht="20.25" customHeight="1" x14ac:dyDescent="0.2">
      <c r="A149" s="162" t="s">
        <v>1621</v>
      </c>
      <c r="B149" s="162" t="s">
        <v>319</v>
      </c>
      <c r="C149" s="163" t="s">
        <v>318</v>
      </c>
      <c r="D149" s="162" t="s">
        <v>10</v>
      </c>
      <c r="E149" s="162" t="s">
        <v>1408</v>
      </c>
      <c r="F149" s="164">
        <v>200</v>
      </c>
      <c r="G149" s="162">
        <v>1800</v>
      </c>
      <c r="H149" s="162" t="s">
        <v>1409</v>
      </c>
      <c r="I149" s="162" t="s">
        <v>317</v>
      </c>
      <c r="J149" s="163" t="s">
        <v>316</v>
      </c>
      <c r="K149" s="162" t="s">
        <v>7</v>
      </c>
      <c r="L149" s="163" t="s">
        <v>6</v>
      </c>
      <c r="M149" s="162">
        <v>1</v>
      </c>
      <c r="N149" s="162">
        <v>0</v>
      </c>
      <c r="O149" s="162">
        <v>0</v>
      </c>
      <c r="P149" s="162" t="s">
        <v>1410</v>
      </c>
      <c r="Q149" s="162"/>
      <c r="R149" s="70"/>
    </row>
    <row r="150" spans="1:18" s="69" customFormat="1" ht="20.25" customHeight="1" x14ac:dyDescent="0.2">
      <c r="A150" s="112" t="s">
        <v>245</v>
      </c>
      <c r="B150" s="112" t="s">
        <v>335</v>
      </c>
      <c r="C150" s="113" t="s">
        <v>334</v>
      </c>
      <c r="D150" s="112" t="s">
        <v>10</v>
      </c>
      <c r="E150" s="112" t="s">
        <v>1401</v>
      </c>
      <c r="F150" s="114">
        <v>43</v>
      </c>
      <c r="G150" s="112">
        <v>4031</v>
      </c>
      <c r="H150" s="112" t="s">
        <v>1216</v>
      </c>
      <c r="I150" s="112" t="s">
        <v>245</v>
      </c>
      <c r="J150" s="113" t="s">
        <v>244</v>
      </c>
      <c r="K150" s="112" t="s">
        <v>7</v>
      </c>
      <c r="L150" s="113" t="s">
        <v>6</v>
      </c>
      <c r="M150" s="112">
        <v>1</v>
      </c>
      <c r="N150" s="112">
        <v>0</v>
      </c>
      <c r="O150" s="112">
        <v>0</v>
      </c>
      <c r="P150" s="112" t="s">
        <v>1402</v>
      </c>
      <c r="Q150" s="112"/>
      <c r="R150" s="70"/>
    </row>
    <row r="151" spans="1:18" s="69" customFormat="1" ht="20.25" customHeight="1" x14ac:dyDescent="0.2">
      <c r="A151" s="115" t="s">
        <v>330</v>
      </c>
      <c r="B151" s="115" t="s">
        <v>333</v>
      </c>
      <c r="C151" s="116" t="s">
        <v>332</v>
      </c>
      <c r="D151" s="115" t="s">
        <v>10</v>
      </c>
      <c r="E151" s="115" t="s">
        <v>331</v>
      </c>
      <c r="F151" s="117">
        <v>68</v>
      </c>
      <c r="G151" s="115">
        <v>9000</v>
      </c>
      <c r="H151" s="115" t="s">
        <v>34</v>
      </c>
      <c r="I151" s="115" t="s">
        <v>330</v>
      </c>
      <c r="J151" s="116" t="s">
        <v>329</v>
      </c>
      <c r="K151" s="115" t="s">
        <v>7</v>
      </c>
      <c r="L151" s="116" t="s">
        <v>6</v>
      </c>
      <c r="M151" s="115">
        <v>1</v>
      </c>
      <c r="N151" s="115">
        <v>0</v>
      </c>
      <c r="O151" s="115">
        <v>1</v>
      </c>
      <c r="P151" s="115" t="s">
        <v>328</v>
      </c>
      <c r="Q151" s="115"/>
      <c r="R151" s="70"/>
    </row>
    <row r="152" spans="1:18" s="69" customFormat="1" ht="20.25" customHeight="1" x14ac:dyDescent="0.2">
      <c r="A152" s="112" t="s">
        <v>1592</v>
      </c>
      <c r="B152" s="112" t="s">
        <v>990</v>
      </c>
      <c r="C152" s="113" t="s">
        <v>332</v>
      </c>
      <c r="D152" s="112" t="s">
        <v>10</v>
      </c>
      <c r="E152" s="112" t="s">
        <v>331</v>
      </c>
      <c r="F152" s="114">
        <v>68</v>
      </c>
      <c r="G152" s="112">
        <v>9000</v>
      </c>
      <c r="H152" s="112" t="s">
        <v>34</v>
      </c>
      <c r="I152" s="112" t="s">
        <v>330</v>
      </c>
      <c r="J152" s="113" t="s">
        <v>329</v>
      </c>
      <c r="K152" s="112" t="s">
        <v>7</v>
      </c>
      <c r="L152" s="113" t="s">
        <v>6</v>
      </c>
      <c r="M152" s="112">
        <v>1</v>
      </c>
      <c r="N152" s="112">
        <v>0</v>
      </c>
      <c r="O152" s="112">
        <v>1</v>
      </c>
      <c r="P152" s="112" t="s">
        <v>328</v>
      </c>
      <c r="Q152" s="112"/>
      <c r="R152" s="70"/>
    </row>
    <row r="153" spans="1:18" s="69" customFormat="1" ht="20.25" customHeight="1" x14ac:dyDescent="0.2">
      <c r="A153" s="115" t="s">
        <v>325</v>
      </c>
      <c r="B153" s="115" t="s">
        <v>327</v>
      </c>
      <c r="C153" s="116" t="s">
        <v>326</v>
      </c>
      <c r="D153" s="115" t="s">
        <v>10</v>
      </c>
      <c r="E153" s="115" t="s">
        <v>1403</v>
      </c>
      <c r="F153" s="117" t="s">
        <v>1404</v>
      </c>
      <c r="G153" s="115">
        <v>4100</v>
      </c>
      <c r="H153" s="115" t="s">
        <v>1084</v>
      </c>
      <c r="I153" s="115" t="s">
        <v>325</v>
      </c>
      <c r="J153" s="116" t="s">
        <v>324</v>
      </c>
      <c r="K153" s="115" t="s">
        <v>7</v>
      </c>
      <c r="L153" s="116" t="s">
        <v>6</v>
      </c>
      <c r="M153" s="115">
        <v>1</v>
      </c>
      <c r="N153" s="115">
        <v>0</v>
      </c>
      <c r="O153" s="115">
        <v>0</v>
      </c>
      <c r="P153" s="115" t="s">
        <v>1405</v>
      </c>
      <c r="Q153" s="115"/>
      <c r="R153" s="70"/>
    </row>
    <row r="154" spans="1:18" s="69" customFormat="1" ht="20.25" customHeight="1" x14ac:dyDescent="0.2">
      <c r="A154" s="112" t="s">
        <v>321</v>
      </c>
      <c r="B154" s="112" t="s">
        <v>323</v>
      </c>
      <c r="C154" s="113" t="s">
        <v>322</v>
      </c>
      <c r="D154" s="112" t="s">
        <v>10</v>
      </c>
      <c r="E154" s="112" t="s">
        <v>1406</v>
      </c>
      <c r="F154" s="114">
        <v>10</v>
      </c>
      <c r="G154" s="112">
        <v>9000</v>
      </c>
      <c r="H154" s="112" t="s">
        <v>34</v>
      </c>
      <c r="I154" s="112" t="s">
        <v>321</v>
      </c>
      <c r="J154" s="113" t="s">
        <v>320</v>
      </c>
      <c r="K154" s="112" t="s">
        <v>7</v>
      </c>
      <c r="L154" s="113" t="s">
        <v>6</v>
      </c>
      <c r="M154" s="112">
        <v>1</v>
      </c>
      <c r="N154" s="112">
        <v>0</v>
      </c>
      <c r="O154" s="112">
        <v>0</v>
      </c>
      <c r="P154" s="112" t="s">
        <v>1407</v>
      </c>
      <c r="Q154" s="112"/>
      <c r="R154" s="70"/>
    </row>
    <row r="155" spans="1:18" s="69" customFormat="1" ht="20.25" customHeight="1" x14ac:dyDescent="0.2">
      <c r="A155" s="112" t="s">
        <v>313</v>
      </c>
      <c r="B155" s="112" t="s">
        <v>315</v>
      </c>
      <c r="C155" s="113" t="s">
        <v>314</v>
      </c>
      <c r="D155" s="112" t="s">
        <v>10</v>
      </c>
      <c r="E155" s="112" t="s">
        <v>1411</v>
      </c>
      <c r="F155" s="114">
        <v>300</v>
      </c>
      <c r="G155" s="112">
        <v>8000</v>
      </c>
      <c r="H155" s="112" t="s">
        <v>1244</v>
      </c>
      <c r="I155" s="112" t="s">
        <v>313</v>
      </c>
      <c r="J155" s="113" t="s">
        <v>312</v>
      </c>
      <c r="K155" s="112" t="s">
        <v>7</v>
      </c>
      <c r="L155" s="113" t="s">
        <v>6</v>
      </c>
      <c r="M155" s="112">
        <v>1</v>
      </c>
      <c r="N155" s="112">
        <v>0</v>
      </c>
      <c r="O155" s="112">
        <v>0</v>
      </c>
      <c r="P155" s="112" t="s">
        <v>1412</v>
      </c>
      <c r="Q155" s="112"/>
      <c r="R155" s="70"/>
    </row>
    <row r="156" spans="1:18" s="69" customFormat="1" ht="20.25" customHeight="1" x14ac:dyDescent="0.2">
      <c r="A156" s="115" t="s">
        <v>309</v>
      </c>
      <c r="B156" s="115" t="s">
        <v>311</v>
      </c>
      <c r="C156" s="116" t="s">
        <v>310</v>
      </c>
      <c r="D156" s="115" t="s">
        <v>10</v>
      </c>
      <c r="E156" s="115" t="s">
        <v>1315</v>
      </c>
      <c r="F156" s="117">
        <v>49</v>
      </c>
      <c r="G156" s="115">
        <v>4400</v>
      </c>
      <c r="H156" s="115" t="s">
        <v>1088</v>
      </c>
      <c r="I156" s="115" t="s">
        <v>309</v>
      </c>
      <c r="J156" s="116" t="s">
        <v>308</v>
      </c>
      <c r="K156" s="115" t="s">
        <v>7</v>
      </c>
      <c r="L156" s="116" t="s">
        <v>6</v>
      </c>
      <c r="M156" s="115">
        <v>1</v>
      </c>
      <c r="N156" s="115">
        <v>0</v>
      </c>
      <c r="O156" s="115">
        <v>0</v>
      </c>
      <c r="P156" s="115" t="s">
        <v>1413</v>
      </c>
      <c r="Q156" s="115"/>
      <c r="R156" s="70"/>
    </row>
    <row r="157" spans="1:18" s="69" customFormat="1" ht="20.25" customHeight="1" x14ac:dyDescent="0.2">
      <c r="A157" s="115" t="s">
        <v>302</v>
      </c>
      <c r="B157" s="115" t="s">
        <v>304</v>
      </c>
      <c r="C157" s="116" t="s">
        <v>303</v>
      </c>
      <c r="D157" s="115" t="s">
        <v>10</v>
      </c>
      <c r="E157" s="115" t="s">
        <v>1414</v>
      </c>
      <c r="F157" s="117">
        <v>87</v>
      </c>
      <c r="G157" s="115">
        <v>7331</v>
      </c>
      <c r="H157" s="115" t="s">
        <v>1240</v>
      </c>
      <c r="I157" s="115" t="s">
        <v>302</v>
      </c>
      <c r="J157" s="116" t="s">
        <v>301</v>
      </c>
      <c r="K157" s="115" t="s">
        <v>7</v>
      </c>
      <c r="L157" s="116" t="s">
        <v>6</v>
      </c>
      <c r="M157" s="115">
        <v>1</v>
      </c>
      <c r="N157" s="115">
        <v>0</v>
      </c>
      <c r="O157" s="115">
        <v>0</v>
      </c>
      <c r="P157" s="115" t="s">
        <v>1415</v>
      </c>
      <c r="Q157" s="115"/>
      <c r="R157" s="70"/>
    </row>
    <row r="158" spans="1:18" s="69" customFormat="1" ht="20.25" customHeight="1" x14ac:dyDescent="0.2">
      <c r="A158" s="112" t="s">
        <v>1416</v>
      </c>
      <c r="B158" s="112" t="s">
        <v>307</v>
      </c>
      <c r="C158" s="113" t="s">
        <v>306</v>
      </c>
      <c r="D158" s="112" t="s">
        <v>10</v>
      </c>
      <c r="E158" s="121" t="s">
        <v>1417</v>
      </c>
      <c r="F158" s="122">
        <v>150</v>
      </c>
      <c r="G158" s="121">
        <v>6030</v>
      </c>
      <c r="H158" s="121" t="s">
        <v>1040</v>
      </c>
      <c r="I158" s="112" t="s">
        <v>1416</v>
      </c>
      <c r="J158" s="113" t="s">
        <v>305</v>
      </c>
      <c r="K158" s="112" t="s">
        <v>7</v>
      </c>
      <c r="L158" s="113" t="s">
        <v>6</v>
      </c>
      <c r="M158" s="112">
        <v>1</v>
      </c>
      <c r="N158" s="112">
        <v>0</v>
      </c>
      <c r="O158" s="112">
        <v>0</v>
      </c>
      <c r="P158" s="112" t="s">
        <v>1418</v>
      </c>
      <c r="Q158" s="112"/>
      <c r="R158" s="70"/>
    </row>
    <row r="159" spans="1:18" s="69" customFormat="1" ht="20.25" customHeight="1" x14ac:dyDescent="0.2">
      <c r="A159" s="112" t="s">
        <v>300</v>
      </c>
      <c r="B159" s="112" t="s">
        <v>299</v>
      </c>
      <c r="C159" s="113" t="s">
        <v>298</v>
      </c>
      <c r="D159" s="112" t="s">
        <v>10</v>
      </c>
      <c r="E159" s="112" t="s">
        <v>1419</v>
      </c>
      <c r="F159" s="114">
        <v>6</v>
      </c>
      <c r="G159" s="112">
        <v>6044</v>
      </c>
      <c r="H159" s="112" t="s">
        <v>1420</v>
      </c>
      <c r="I159" s="112" t="s">
        <v>297</v>
      </c>
      <c r="J159" s="113" t="s">
        <v>296</v>
      </c>
      <c r="K159" s="112" t="s">
        <v>7</v>
      </c>
      <c r="L159" s="113" t="s">
        <v>6</v>
      </c>
      <c r="M159" s="112">
        <v>1</v>
      </c>
      <c r="N159" s="112">
        <v>1</v>
      </c>
      <c r="O159" s="112">
        <v>0</v>
      </c>
      <c r="P159" s="112" t="s">
        <v>1421</v>
      </c>
      <c r="Q159" s="112"/>
      <c r="R159" s="70"/>
    </row>
    <row r="160" spans="1:18" s="69" customFormat="1" ht="20.25" customHeight="1" x14ac:dyDescent="0.2">
      <c r="A160" s="115" t="s">
        <v>1422</v>
      </c>
      <c r="B160" s="115" t="s">
        <v>995</v>
      </c>
      <c r="C160" s="116" t="s">
        <v>996</v>
      </c>
      <c r="D160" s="115" t="s">
        <v>92</v>
      </c>
      <c r="E160" s="115" t="s">
        <v>1108</v>
      </c>
      <c r="F160" s="117">
        <v>630</v>
      </c>
      <c r="G160" s="115">
        <v>2040</v>
      </c>
      <c r="H160" s="115" t="s">
        <v>1050</v>
      </c>
      <c r="I160" s="115" t="s">
        <v>1107</v>
      </c>
      <c r="J160" s="116" t="s">
        <v>420</v>
      </c>
      <c r="K160" s="115" t="s">
        <v>13</v>
      </c>
      <c r="L160" s="116" t="s">
        <v>6</v>
      </c>
      <c r="M160" s="115">
        <v>1</v>
      </c>
      <c r="N160" s="115">
        <v>0</v>
      </c>
      <c r="O160" s="115">
        <v>0</v>
      </c>
      <c r="P160" s="115" t="s">
        <v>1423</v>
      </c>
      <c r="Q160" s="115"/>
      <c r="R160" s="70"/>
    </row>
    <row r="161" spans="1:18" s="69" customFormat="1" ht="20.25" customHeight="1" x14ac:dyDescent="0.2">
      <c r="A161" s="115" t="s">
        <v>1424</v>
      </c>
      <c r="B161" s="115" t="s">
        <v>1425</v>
      </c>
      <c r="C161" s="116" t="s">
        <v>635</v>
      </c>
      <c r="D161" s="115" t="s">
        <v>92</v>
      </c>
      <c r="E161" s="115" t="s">
        <v>1128</v>
      </c>
      <c r="F161" s="117">
        <v>249</v>
      </c>
      <c r="G161" s="115">
        <v>3300</v>
      </c>
      <c r="H161" s="115" t="s">
        <v>1129</v>
      </c>
      <c r="I161" s="115" t="s">
        <v>634</v>
      </c>
      <c r="J161" s="116" t="s">
        <v>633</v>
      </c>
      <c r="K161" s="115" t="s">
        <v>13</v>
      </c>
      <c r="L161" s="116" t="s">
        <v>19</v>
      </c>
      <c r="M161" s="115">
        <v>1</v>
      </c>
      <c r="N161" s="115">
        <v>1</v>
      </c>
      <c r="O161" s="115">
        <v>1</v>
      </c>
      <c r="P161" s="115" t="s">
        <v>1185</v>
      </c>
      <c r="Q161" s="115"/>
      <c r="R161" s="70"/>
    </row>
    <row r="162" spans="1:18" s="69" customFormat="1" ht="20.25" customHeight="1" x14ac:dyDescent="0.2">
      <c r="A162" s="112" t="s">
        <v>991</v>
      </c>
      <c r="B162" s="112" t="s">
        <v>295</v>
      </c>
      <c r="C162" s="113" t="s">
        <v>294</v>
      </c>
      <c r="D162" s="112" t="s">
        <v>92</v>
      </c>
      <c r="E162" s="112" t="s">
        <v>1108</v>
      </c>
      <c r="F162" s="114">
        <v>420</v>
      </c>
      <c r="G162" s="112">
        <v>2040</v>
      </c>
      <c r="H162" s="112" t="s">
        <v>1050</v>
      </c>
      <c r="I162" s="112" t="s">
        <v>989</v>
      </c>
      <c r="J162" s="113" t="s">
        <v>293</v>
      </c>
      <c r="K162" s="112" t="s">
        <v>7</v>
      </c>
      <c r="L162" s="113" t="s">
        <v>6</v>
      </c>
      <c r="M162" s="112">
        <v>1</v>
      </c>
      <c r="N162" s="112">
        <v>0</v>
      </c>
      <c r="O162" s="112">
        <v>0</v>
      </c>
      <c r="P162" s="112" t="s">
        <v>1426</v>
      </c>
      <c r="Q162" s="112"/>
      <c r="R162" s="70"/>
    </row>
    <row r="163" spans="1:18" s="69" customFormat="1" ht="20.25" customHeight="1" x14ac:dyDescent="0.2">
      <c r="A163" s="112" t="s">
        <v>992</v>
      </c>
      <c r="B163" s="112" t="s">
        <v>292</v>
      </c>
      <c r="C163" s="113" t="s">
        <v>291</v>
      </c>
      <c r="D163" s="112" t="s">
        <v>92</v>
      </c>
      <c r="E163" s="112" t="s">
        <v>1218</v>
      </c>
      <c r="F163" s="114" t="s">
        <v>1025</v>
      </c>
      <c r="G163" s="112">
        <v>2040</v>
      </c>
      <c r="H163" s="112" t="s">
        <v>1050</v>
      </c>
      <c r="I163" s="112" t="s">
        <v>288</v>
      </c>
      <c r="J163" s="113" t="s">
        <v>287</v>
      </c>
      <c r="K163" s="112" t="s">
        <v>13</v>
      </c>
      <c r="L163" s="113" t="s">
        <v>6</v>
      </c>
      <c r="M163" s="112">
        <v>1</v>
      </c>
      <c r="N163" s="112">
        <v>0</v>
      </c>
      <c r="O163" s="112">
        <v>0</v>
      </c>
      <c r="P163" s="112" t="s">
        <v>1219</v>
      </c>
      <c r="Q163" s="112"/>
      <c r="R163" s="70"/>
    </row>
    <row r="164" spans="1:18" s="69" customFormat="1" ht="20.25" customHeight="1" x14ac:dyDescent="0.2">
      <c r="A164" s="115" t="s">
        <v>993</v>
      </c>
      <c r="B164" s="115" t="s">
        <v>290</v>
      </c>
      <c r="C164" s="116" t="s">
        <v>289</v>
      </c>
      <c r="D164" s="115" t="s">
        <v>92</v>
      </c>
      <c r="E164" s="115" t="s">
        <v>1218</v>
      </c>
      <c r="F164" s="117" t="s">
        <v>1025</v>
      </c>
      <c r="G164" s="115">
        <v>2040</v>
      </c>
      <c r="H164" s="115" t="s">
        <v>1050</v>
      </c>
      <c r="I164" s="115" t="s">
        <v>288</v>
      </c>
      <c r="J164" s="116" t="s">
        <v>287</v>
      </c>
      <c r="K164" s="115" t="s">
        <v>13</v>
      </c>
      <c r="L164" s="116" t="s">
        <v>6</v>
      </c>
      <c r="M164" s="115">
        <v>1</v>
      </c>
      <c r="N164" s="115">
        <v>0</v>
      </c>
      <c r="O164" s="115">
        <v>0</v>
      </c>
      <c r="P164" s="115" t="s">
        <v>1219</v>
      </c>
      <c r="Q164" s="115"/>
      <c r="R164" s="70"/>
    </row>
    <row r="165" spans="1:18" s="69" customFormat="1" ht="20.25" customHeight="1" x14ac:dyDescent="0.2">
      <c r="A165" s="112" t="s">
        <v>284</v>
      </c>
      <c r="B165" s="112" t="s">
        <v>286</v>
      </c>
      <c r="C165" s="113" t="s">
        <v>285</v>
      </c>
      <c r="D165" s="112" t="s">
        <v>92</v>
      </c>
      <c r="E165" s="112" t="s">
        <v>1427</v>
      </c>
      <c r="F165" s="114" t="s">
        <v>1025</v>
      </c>
      <c r="G165" s="112">
        <v>2070</v>
      </c>
      <c r="H165" s="112" t="s">
        <v>1029</v>
      </c>
      <c r="I165" s="112" t="s">
        <v>284</v>
      </c>
      <c r="J165" s="113" t="s">
        <v>283</v>
      </c>
      <c r="K165" s="112" t="s">
        <v>7</v>
      </c>
      <c r="L165" s="113" t="s">
        <v>6</v>
      </c>
      <c r="M165" s="112">
        <v>1</v>
      </c>
      <c r="N165" s="112">
        <v>0</v>
      </c>
      <c r="O165" s="112">
        <v>0</v>
      </c>
      <c r="P165" s="112" t="s">
        <v>1428</v>
      </c>
      <c r="Q165" s="112"/>
      <c r="R165" s="70"/>
    </row>
    <row r="166" spans="1:18" s="69" customFormat="1" ht="20.25" customHeight="1" x14ac:dyDescent="0.2">
      <c r="A166" s="115" t="s">
        <v>280</v>
      </c>
      <c r="B166" s="115" t="s">
        <v>282</v>
      </c>
      <c r="C166" s="116" t="s">
        <v>281</v>
      </c>
      <c r="D166" s="115" t="s">
        <v>92</v>
      </c>
      <c r="E166" s="115" t="s">
        <v>1429</v>
      </c>
      <c r="F166" s="117" t="s">
        <v>1025</v>
      </c>
      <c r="G166" s="115">
        <v>8870</v>
      </c>
      <c r="H166" s="115" t="s">
        <v>1388</v>
      </c>
      <c r="I166" s="115" t="s">
        <v>280</v>
      </c>
      <c r="J166" s="116" t="s">
        <v>279</v>
      </c>
      <c r="K166" s="115" t="s">
        <v>7</v>
      </c>
      <c r="L166" s="116" t="s">
        <v>6</v>
      </c>
      <c r="M166" s="115">
        <v>1</v>
      </c>
      <c r="N166" s="115">
        <v>0</v>
      </c>
      <c r="O166" s="115">
        <v>0</v>
      </c>
      <c r="P166" s="115" t="s">
        <v>1430</v>
      </c>
      <c r="Q166" s="115"/>
      <c r="R166" s="70"/>
    </row>
    <row r="167" spans="1:18" s="69" customFormat="1" ht="20.25" customHeight="1" x14ac:dyDescent="0.2">
      <c r="A167" s="112" t="s">
        <v>994</v>
      </c>
      <c r="B167" s="112" t="s">
        <v>219</v>
      </c>
      <c r="C167" s="113" t="s">
        <v>218</v>
      </c>
      <c r="D167" s="112" t="s">
        <v>92</v>
      </c>
      <c r="E167" s="112" t="s">
        <v>1431</v>
      </c>
      <c r="F167" s="114">
        <v>1</v>
      </c>
      <c r="G167" s="112">
        <v>2070</v>
      </c>
      <c r="H167" s="112" t="s">
        <v>1029</v>
      </c>
      <c r="I167" s="112" t="s">
        <v>988</v>
      </c>
      <c r="J167" s="113" t="s">
        <v>217</v>
      </c>
      <c r="K167" s="112" t="s">
        <v>7</v>
      </c>
      <c r="L167" s="113" t="s">
        <v>6</v>
      </c>
      <c r="M167" s="112">
        <v>1</v>
      </c>
      <c r="N167" s="112">
        <v>0</v>
      </c>
      <c r="O167" s="112">
        <v>0</v>
      </c>
      <c r="P167" s="112" t="s">
        <v>1281</v>
      </c>
      <c r="Q167" s="112"/>
      <c r="R167" s="70"/>
    </row>
    <row r="168" spans="1:18" s="69" customFormat="1" ht="20.25" customHeight="1" x14ac:dyDescent="0.2">
      <c r="A168" s="115" t="s">
        <v>278</v>
      </c>
      <c r="B168" s="115" t="s">
        <v>277</v>
      </c>
      <c r="C168" s="116" t="s">
        <v>276</v>
      </c>
      <c r="D168" s="115" t="s">
        <v>92</v>
      </c>
      <c r="E168" s="115" t="s">
        <v>1432</v>
      </c>
      <c r="F168" s="117">
        <v>1</v>
      </c>
      <c r="G168" s="115">
        <v>9130</v>
      </c>
      <c r="H168" s="115" t="s">
        <v>1093</v>
      </c>
      <c r="I168" s="115" t="s">
        <v>275</v>
      </c>
      <c r="J168" s="116" t="s">
        <v>274</v>
      </c>
      <c r="K168" s="115" t="s">
        <v>7</v>
      </c>
      <c r="L168" s="116" t="s">
        <v>6</v>
      </c>
      <c r="M168" s="115">
        <v>1</v>
      </c>
      <c r="N168" s="115">
        <v>0</v>
      </c>
      <c r="O168" s="115">
        <v>0</v>
      </c>
      <c r="P168" s="115" t="s">
        <v>1433</v>
      </c>
      <c r="Q168" s="115"/>
      <c r="R168" s="70"/>
    </row>
    <row r="169" spans="1:18" s="69" customFormat="1" ht="20.25" customHeight="1" x14ac:dyDescent="0.2">
      <c r="A169" s="112" t="s">
        <v>271</v>
      </c>
      <c r="B169" s="112" t="s">
        <v>273</v>
      </c>
      <c r="C169" s="113" t="s">
        <v>272</v>
      </c>
      <c r="D169" s="112" t="s">
        <v>92</v>
      </c>
      <c r="E169" s="112" t="s">
        <v>1282</v>
      </c>
      <c r="F169" s="114">
        <v>39</v>
      </c>
      <c r="G169" s="112">
        <v>5190</v>
      </c>
      <c r="H169" s="112" t="s">
        <v>1047</v>
      </c>
      <c r="I169" s="112" t="s">
        <v>271</v>
      </c>
      <c r="J169" s="113" t="s">
        <v>270</v>
      </c>
      <c r="K169" s="112" t="s">
        <v>7</v>
      </c>
      <c r="L169" s="113" t="s">
        <v>6</v>
      </c>
      <c r="M169" s="112">
        <v>1</v>
      </c>
      <c r="N169" s="112">
        <v>0</v>
      </c>
      <c r="O169" s="112">
        <v>0</v>
      </c>
      <c r="P169" s="112" t="s">
        <v>1434</v>
      </c>
      <c r="Q169" s="112"/>
      <c r="R169" s="70"/>
    </row>
    <row r="170" spans="1:18" s="69" customFormat="1" ht="20.25" customHeight="1" x14ac:dyDescent="0.2">
      <c r="A170" s="162" t="s">
        <v>1623</v>
      </c>
      <c r="B170" s="162" t="s">
        <v>1598</v>
      </c>
      <c r="C170" s="163">
        <v>42902</v>
      </c>
      <c r="D170" s="162" t="s">
        <v>92</v>
      </c>
      <c r="E170" s="162" t="s">
        <v>1603</v>
      </c>
      <c r="F170" s="164">
        <v>7</v>
      </c>
      <c r="G170" s="162">
        <v>9130</v>
      </c>
      <c r="H170" s="162" t="s">
        <v>1120</v>
      </c>
      <c r="I170" s="162" t="s">
        <v>1597</v>
      </c>
      <c r="J170" s="165" t="s">
        <v>1606</v>
      </c>
      <c r="K170" s="162" t="s">
        <v>7</v>
      </c>
      <c r="L170" s="163" t="s">
        <v>6</v>
      </c>
      <c r="M170" s="162">
        <v>1</v>
      </c>
      <c r="N170" s="162">
        <v>0</v>
      </c>
      <c r="O170" s="162">
        <v>0</v>
      </c>
      <c r="P170" s="162" t="s">
        <v>1613</v>
      </c>
      <c r="Q170" s="162"/>
      <c r="R170" s="70"/>
    </row>
    <row r="171" spans="1:18" s="69" customFormat="1" ht="20.25" customHeight="1" x14ac:dyDescent="0.2">
      <c r="A171" s="115" t="s">
        <v>1593</v>
      </c>
      <c r="B171" s="115" t="s">
        <v>1435</v>
      </c>
      <c r="C171" s="116" t="s">
        <v>376</v>
      </c>
      <c r="D171" s="115" t="s">
        <v>10</v>
      </c>
      <c r="E171" s="115" t="s">
        <v>1377</v>
      </c>
      <c r="F171" s="117">
        <v>1</v>
      </c>
      <c r="G171" s="115">
        <v>4360</v>
      </c>
      <c r="H171" s="115" t="s">
        <v>1378</v>
      </c>
      <c r="I171" s="115" t="s">
        <v>375</v>
      </c>
      <c r="J171" s="116" t="s">
        <v>374</v>
      </c>
      <c r="K171" s="115" t="s">
        <v>13</v>
      </c>
      <c r="L171" s="116" t="s">
        <v>6</v>
      </c>
      <c r="M171" s="115">
        <v>1</v>
      </c>
      <c r="N171" s="115">
        <v>0</v>
      </c>
      <c r="O171" s="115">
        <v>0</v>
      </c>
      <c r="P171" s="115" t="s">
        <v>1379</v>
      </c>
      <c r="Q171" s="115"/>
      <c r="R171" s="70"/>
    </row>
    <row r="172" spans="1:18" s="69" customFormat="1" ht="20.25" customHeight="1" x14ac:dyDescent="0.2">
      <c r="A172" s="112" t="s">
        <v>267</v>
      </c>
      <c r="B172" s="112" t="s">
        <v>269</v>
      </c>
      <c r="C172" s="113" t="s">
        <v>268</v>
      </c>
      <c r="D172" s="112" t="s">
        <v>92</v>
      </c>
      <c r="E172" s="112" t="s">
        <v>1436</v>
      </c>
      <c r="F172" s="114">
        <v>120</v>
      </c>
      <c r="G172" s="112">
        <v>9200</v>
      </c>
      <c r="H172" s="112" t="s">
        <v>1437</v>
      </c>
      <c r="I172" s="112" t="s">
        <v>267</v>
      </c>
      <c r="J172" s="113" t="s">
        <v>266</v>
      </c>
      <c r="K172" s="112" t="s">
        <v>7</v>
      </c>
      <c r="L172" s="113" t="s">
        <v>6</v>
      </c>
      <c r="M172" s="112">
        <v>1</v>
      </c>
      <c r="N172" s="112">
        <v>0</v>
      </c>
      <c r="O172" s="112">
        <v>0</v>
      </c>
      <c r="P172" s="112" t="s">
        <v>1438</v>
      </c>
      <c r="Q172" s="112"/>
      <c r="R172" s="70"/>
    </row>
    <row r="173" spans="1:18" s="69" customFormat="1" ht="20.25" customHeight="1" x14ac:dyDescent="0.2">
      <c r="A173" s="115" t="s">
        <v>265</v>
      </c>
      <c r="B173" s="115" t="s">
        <v>264</v>
      </c>
      <c r="C173" s="116" t="s">
        <v>263</v>
      </c>
      <c r="D173" s="115" t="s">
        <v>92</v>
      </c>
      <c r="E173" s="115" t="s">
        <v>1439</v>
      </c>
      <c r="F173" s="117">
        <v>2</v>
      </c>
      <c r="G173" s="115">
        <v>3620</v>
      </c>
      <c r="H173" s="115" t="s">
        <v>1170</v>
      </c>
      <c r="I173" s="115" t="s">
        <v>197</v>
      </c>
      <c r="J173" s="116" t="s">
        <v>196</v>
      </c>
      <c r="K173" s="115" t="s">
        <v>13</v>
      </c>
      <c r="L173" s="116" t="s">
        <v>6</v>
      </c>
      <c r="M173" s="115">
        <v>1</v>
      </c>
      <c r="N173" s="115">
        <v>0</v>
      </c>
      <c r="O173" s="115">
        <v>0</v>
      </c>
      <c r="P173" s="115" t="s">
        <v>1440</v>
      </c>
      <c r="Q173" s="115"/>
      <c r="R173" s="70"/>
    </row>
    <row r="174" spans="1:18" s="69" customFormat="1" ht="20.25" customHeight="1" x14ac:dyDescent="0.2">
      <c r="A174" s="112" t="s">
        <v>260</v>
      </c>
      <c r="B174" s="112" t="s">
        <v>262</v>
      </c>
      <c r="C174" s="113" t="s">
        <v>261</v>
      </c>
      <c r="D174" s="112" t="s">
        <v>92</v>
      </c>
      <c r="E174" s="112" t="s">
        <v>1441</v>
      </c>
      <c r="F174" s="114">
        <v>16</v>
      </c>
      <c r="G174" s="112">
        <v>2030</v>
      </c>
      <c r="H174" s="112" t="s">
        <v>1050</v>
      </c>
      <c r="I174" s="112" t="s">
        <v>260</v>
      </c>
      <c r="J174" s="113" t="s">
        <v>259</v>
      </c>
      <c r="K174" s="112" t="s">
        <v>7</v>
      </c>
      <c r="L174" s="113" t="s">
        <v>6</v>
      </c>
      <c r="M174" s="112">
        <v>1</v>
      </c>
      <c r="N174" s="112">
        <v>0</v>
      </c>
      <c r="O174" s="112">
        <v>0</v>
      </c>
      <c r="P174" s="112" t="s">
        <v>1442</v>
      </c>
      <c r="Q174" s="112"/>
      <c r="R174" s="70"/>
    </row>
    <row r="175" spans="1:18" s="69" customFormat="1" ht="20.25" customHeight="1" x14ac:dyDescent="0.2">
      <c r="A175" s="115" t="s">
        <v>258</v>
      </c>
      <c r="B175" s="115" t="s">
        <v>257</v>
      </c>
      <c r="C175" s="116" t="s">
        <v>256</v>
      </c>
      <c r="D175" s="115" t="s">
        <v>10</v>
      </c>
      <c r="E175" s="115" t="s">
        <v>1443</v>
      </c>
      <c r="F175" s="117" t="s">
        <v>1025</v>
      </c>
      <c r="G175" s="115">
        <v>6044</v>
      </c>
      <c r="H175" s="115" t="s">
        <v>1420</v>
      </c>
      <c r="I175" s="115" t="s">
        <v>255</v>
      </c>
      <c r="J175" s="116" t="s">
        <v>254</v>
      </c>
      <c r="K175" s="115" t="s">
        <v>7</v>
      </c>
      <c r="L175" s="116" t="s">
        <v>6</v>
      </c>
      <c r="M175" s="115">
        <v>1</v>
      </c>
      <c r="N175" s="115">
        <v>0</v>
      </c>
      <c r="O175" s="115">
        <v>0</v>
      </c>
      <c r="P175" s="115" t="s">
        <v>1444</v>
      </c>
      <c r="Q175" s="115"/>
      <c r="R175" s="70"/>
    </row>
    <row r="176" spans="1:18" s="69" customFormat="1" ht="20.25" customHeight="1" x14ac:dyDescent="0.2">
      <c r="A176" s="112" t="s">
        <v>253</v>
      </c>
      <c r="B176" s="112" t="s">
        <v>252</v>
      </c>
      <c r="C176" s="113" t="s">
        <v>251</v>
      </c>
      <c r="D176" s="112" t="s">
        <v>10</v>
      </c>
      <c r="E176" s="112" t="s">
        <v>1445</v>
      </c>
      <c r="F176" s="114">
        <v>3</v>
      </c>
      <c r="G176" s="112">
        <v>9042</v>
      </c>
      <c r="H176" s="112" t="s">
        <v>1446</v>
      </c>
      <c r="I176" s="112" t="s">
        <v>250</v>
      </c>
      <c r="J176" s="113" t="s">
        <v>249</v>
      </c>
      <c r="K176" s="112" t="s">
        <v>7</v>
      </c>
      <c r="L176" s="113" t="s">
        <v>6</v>
      </c>
      <c r="M176" s="112">
        <v>1</v>
      </c>
      <c r="N176" s="112">
        <v>0</v>
      </c>
      <c r="O176" s="112">
        <v>0</v>
      </c>
      <c r="P176" s="112" t="s">
        <v>1447</v>
      </c>
      <c r="Q176" s="112"/>
      <c r="R176" s="70"/>
    </row>
    <row r="177" spans="1:18" s="69" customFormat="1" ht="20.25" customHeight="1" x14ac:dyDescent="0.2">
      <c r="A177" s="115" t="s">
        <v>248</v>
      </c>
      <c r="B177" s="115" t="s">
        <v>247</v>
      </c>
      <c r="C177" s="116" t="s">
        <v>246</v>
      </c>
      <c r="D177" s="115" t="s">
        <v>10</v>
      </c>
      <c r="E177" s="115" t="s">
        <v>1401</v>
      </c>
      <c r="F177" s="117">
        <v>43</v>
      </c>
      <c r="G177" s="115">
        <v>4031</v>
      </c>
      <c r="H177" s="115" t="s">
        <v>1216</v>
      </c>
      <c r="I177" s="115" t="s">
        <v>245</v>
      </c>
      <c r="J177" s="116" t="s">
        <v>244</v>
      </c>
      <c r="K177" s="115" t="s">
        <v>7</v>
      </c>
      <c r="L177" s="116" t="s">
        <v>6</v>
      </c>
      <c r="M177" s="115">
        <v>1</v>
      </c>
      <c r="N177" s="115">
        <v>0</v>
      </c>
      <c r="O177" s="115">
        <v>0</v>
      </c>
      <c r="P177" s="115" t="s">
        <v>1402</v>
      </c>
      <c r="Q177" s="115"/>
      <c r="R177" s="70"/>
    </row>
    <row r="178" spans="1:18" s="69" customFormat="1" ht="20.25" customHeight="1" x14ac:dyDescent="0.2">
      <c r="A178" s="112" t="s">
        <v>241</v>
      </c>
      <c r="B178" s="112" t="s">
        <v>243</v>
      </c>
      <c r="C178" s="113" t="s">
        <v>242</v>
      </c>
      <c r="D178" s="112" t="s">
        <v>10</v>
      </c>
      <c r="E178" s="112" t="s">
        <v>1119</v>
      </c>
      <c r="F178" s="114" t="s">
        <v>1448</v>
      </c>
      <c r="G178" s="112">
        <v>3980</v>
      </c>
      <c r="H178" s="112" t="s">
        <v>1178</v>
      </c>
      <c r="I178" s="112" t="s">
        <v>241</v>
      </c>
      <c r="J178" s="113" t="s">
        <v>240</v>
      </c>
      <c r="K178" s="112" t="s">
        <v>7</v>
      </c>
      <c r="L178" s="113" t="s">
        <v>6</v>
      </c>
      <c r="M178" s="112">
        <v>1</v>
      </c>
      <c r="N178" s="112">
        <v>0</v>
      </c>
      <c r="O178" s="112">
        <v>0</v>
      </c>
      <c r="P178" s="112" t="s">
        <v>1449</v>
      </c>
      <c r="Q178" s="112"/>
      <c r="R178" s="70"/>
    </row>
    <row r="179" spans="1:18" s="69" customFormat="1" ht="20.25" customHeight="1" x14ac:dyDescent="0.2">
      <c r="A179" s="115" t="s">
        <v>234</v>
      </c>
      <c r="B179" s="115" t="s">
        <v>236</v>
      </c>
      <c r="C179" s="116" t="s">
        <v>235</v>
      </c>
      <c r="D179" s="115" t="s">
        <v>16</v>
      </c>
      <c r="E179" s="115" t="s">
        <v>1450</v>
      </c>
      <c r="F179" s="117">
        <v>144</v>
      </c>
      <c r="G179" s="115">
        <v>4480</v>
      </c>
      <c r="H179" s="115" t="s">
        <v>1156</v>
      </c>
      <c r="I179" s="115" t="s">
        <v>234</v>
      </c>
      <c r="J179" s="116" t="s">
        <v>233</v>
      </c>
      <c r="K179" s="115" t="s">
        <v>13</v>
      </c>
      <c r="L179" s="116" t="s">
        <v>6</v>
      </c>
      <c r="M179" s="115">
        <v>1</v>
      </c>
      <c r="N179" s="115">
        <v>1</v>
      </c>
      <c r="O179" s="115">
        <v>1</v>
      </c>
      <c r="P179" s="115" t="s">
        <v>1451</v>
      </c>
      <c r="Q179" s="115"/>
      <c r="R179" s="70"/>
    </row>
    <row r="180" spans="1:18" s="69" customFormat="1" ht="20.25" customHeight="1" x14ac:dyDescent="0.2">
      <c r="A180" s="112" t="s">
        <v>1452</v>
      </c>
      <c r="B180" s="112" t="s">
        <v>1453</v>
      </c>
      <c r="C180" s="113" t="s">
        <v>1454</v>
      </c>
      <c r="D180" s="112" t="s">
        <v>16</v>
      </c>
      <c r="E180" s="112" t="s">
        <v>1455</v>
      </c>
      <c r="F180" s="114">
        <v>31</v>
      </c>
      <c r="G180" s="112">
        <v>2870</v>
      </c>
      <c r="H180" s="112" t="s">
        <v>1345</v>
      </c>
      <c r="I180" s="112" t="s">
        <v>232</v>
      </c>
      <c r="J180" s="113" t="s">
        <v>231</v>
      </c>
      <c r="K180" s="112" t="s">
        <v>13</v>
      </c>
      <c r="L180" s="113" t="s">
        <v>6</v>
      </c>
      <c r="M180" s="112">
        <v>1</v>
      </c>
      <c r="N180" s="112">
        <v>0</v>
      </c>
      <c r="O180" s="112">
        <v>0</v>
      </c>
      <c r="P180" s="112" t="s">
        <v>1456</v>
      </c>
      <c r="Q180" s="112" t="s">
        <v>1609</v>
      </c>
      <c r="R180" s="70"/>
    </row>
    <row r="181" spans="1:18" s="69" customFormat="1" ht="20.25" customHeight="1" x14ac:dyDescent="0.2">
      <c r="A181" s="162" t="s">
        <v>1582</v>
      </c>
      <c r="B181" s="162" t="s">
        <v>596</v>
      </c>
      <c r="C181" s="163" t="s">
        <v>595</v>
      </c>
      <c r="D181" s="162" t="s">
        <v>16</v>
      </c>
      <c r="E181" s="162" t="s">
        <v>1206</v>
      </c>
      <c r="F181" s="164">
        <v>9</v>
      </c>
      <c r="G181" s="162">
        <v>7333</v>
      </c>
      <c r="H181" s="162" t="s">
        <v>1207</v>
      </c>
      <c r="I181" s="162" t="s">
        <v>594</v>
      </c>
      <c r="J181" s="163" t="s">
        <v>593</v>
      </c>
      <c r="K181" s="162" t="s">
        <v>13</v>
      </c>
      <c r="L181" s="163" t="s">
        <v>6</v>
      </c>
      <c r="M181" s="162">
        <v>1</v>
      </c>
      <c r="N181" s="162">
        <v>1</v>
      </c>
      <c r="O181" s="162">
        <v>1</v>
      </c>
      <c r="P181" s="162" t="s">
        <v>1208</v>
      </c>
      <c r="Q181" s="162"/>
      <c r="R181" s="70"/>
    </row>
    <row r="182" spans="1:18" s="69" customFormat="1" ht="20.25" customHeight="1" x14ac:dyDescent="0.2">
      <c r="A182" s="115" t="s">
        <v>225</v>
      </c>
      <c r="B182" s="115" t="s">
        <v>227</v>
      </c>
      <c r="C182" s="116" t="s">
        <v>226</v>
      </c>
      <c r="D182" s="115" t="s">
        <v>16</v>
      </c>
      <c r="E182" s="115" t="s">
        <v>1457</v>
      </c>
      <c r="F182" s="117">
        <v>3</v>
      </c>
      <c r="G182" s="115">
        <v>5310</v>
      </c>
      <c r="H182" s="115" t="s">
        <v>1458</v>
      </c>
      <c r="I182" s="115" t="s">
        <v>225</v>
      </c>
      <c r="J182" s="116" t="s">
        <v>224</v>
      </c>
      <c r="K182" s="115" t="s">
        <v>13</v>
      </c>
      <c r="L182" s="116" t="s">
        <v>6</v>
      </c>
      <c r="M182" s="115">
        <v>1</v>
      </c>
      <c r="N182" s="115">
        <v>0</v>
      </c>
      <c r="O182" s="115">
        <v>0</v>
      </c>
      <c r="P182" s="115" t="s">
        <v>1459</v>
      </c>
      <c r="Q182" s="115"/>
      <c r="R182" s="70"/>
    </row>
    <row r="183" spans="1:18" s="69" customFormat="1" ht="20.25" customHeight="1" x14ac:dyDescent="0.2">
      <c r="A183" s="112" t="s">
        <v>221</v>
      </c>
      <c r="B183" s="112" t="s">
        <v>223</v>
      </c>
      <c r="C183" s="113" t="s">
        <v>222</v>
      </c>
      <c r="D183" s="112" t="s">
        <v>16</v>
      </c>
      <c r="E183" s="112" t="s">
        <v>1460</v>
      </c>
      <c r="F183" s="114">
        <v>81</v>
      </c>
      <c r="G183" s="112">
        <v>9000</v>
      </c>
      <c r="H183" s="112" t="s">
        <v>34</v>
      </c>
      <c r="I183" s="112" t="s">
        <v>221</v>
      </c>
      <c r="J183" s="113" t="s">
        <v>220</v>
      </c>
      <c r="K183" s="112" t="s">
        <v>13</v>
      </c>
      <c r="L183" s="113" t="s">
        <v>6</v>
      </c>
      <c r="M183" s="112">
        <v>1</v>
      </c>
      <c r="N183" s="112">
        <v>1</v>
      </c>
      <c r="O183" s="112">
        <v>1</v>
      </c>
      <c r="P183" s="112" t="s">
        <v>1461</v>
      </c>
      <c r="Q183" s="112"/>
      <c r="R183" s="70"/>
    </row>
    <row r="184" spans="1:18" s="69" customFormat="1" ht="20.25" customHeight="1" x14ac:dyDescent="0.2">
      <c r="A184" s="112" t="s">
        <v>210</v>
      </c>
      <c r="B184" s="112" t="s">
        <v>212</v>
      </c>
      <c r="C184" s="113" t="s">
        <v>211</v>
      </c>
      <c r="D184" s="112" t="s">
        <v>16</v>
      </c>
      <c r="E184" s="112" t="s">
        <v>1463</v>
      </c>
      <c r="F184" s="114">
        <v>121</v>
      </c>
      <c r="G184" s="112">
        <v>4041</v>
      </c>
      <c r="H184" s="112" t="s">
        <v>1464</v>
      </c>
      <c r="I184" s="112" t="s">
        <v>210</v>
      </c>
      <c r="J184" s="113" t="s">
        <v>209</v>
      </c>
      <c r="K184" s="112" t="s">
        <v>13</v>
      </c>
      <c r="L184" s="113" t="s">
        <v>6</v>
      </c>
      <c r="M184" s="112">
        <v>1</v>
      </c>
      <c r="N184" s="112">
        <v>0</v>
      </c>
      <c r="O184" s="112">
        <v>0</v>
      </c>
      <c r="P184" s="112" t="s">
        <v>1465</v>
      </c>
      <c r="Q184" s="112"/>
      <c r="R184" s="70"/>
    </row>
    <row r="185" spans="1:18" s="69" customFormat="1" ht="20.25" customHeight="1" x14ac:dyDescent="0.2">
      <c r="A185" s="115" t="s">
        <v>208</v>
      </c>
      <c r="B185" s="115" t="s">
        <v>207</v>
      </c>
      <c r="C185" s="116" t="s">
        <v>206</v>
      </c>
      <c r="D185" s="115" t="s">
        <v>16</v>
      </c>
      <c r="E185" s="115" t="s">
        <v>1466</v>
      </c>
      <c r="F185" s="117">
        <v>9</v>
      </c>
      <c r="G185" s="115">
        <v>9130</v>
      </c>
      <c r="H185" s="115" t="s">
        <v>1120</v>
      </c>
      <c r="I185" s="115" t="s">
        <v>205</v>
      </c>
      <c r="J185" s="116" t="s">
        <v>204</v>
      </c>
      <c r="K185" s="115" t="s">
        <v>13</v>
      </c>
      <c r="L185" s="116" t="s">
        <v>6</v>
      </c>
      <c r="M185" s="115">
        <v>1</v>
      </c>
      <c r="N185" s="115">
        <v>0</v>
      </c>
      <c r="O185" s="115">
        <v>0</v>
      </c>
      <c r="P185" s="115" t="s">
        <v>1467</v>
      </c>
      <c r="Q185" s="115"/>
      <c r="R185" s="70"/>
    </row>
    <row r="186" spans="1:18" s="69" customFormat="1" ht="20.25" customHeight="1" x14ac:dyDescent="0.2">
      <c r="A186" s="115" t="s">
        <v>197</v>
      </c>
      <c r="B186" s="115" t="s">
        <v>199</v>
      </c>
      <c r="C186" s="116" t="s">
        <v>198</v>
      </c>
      <c r="D186" s="115" t="s">
        <v>16</v>
      </c>
      <c r="E186" s="115" t="s">
        <v>1439</v>
      </c>
      <c r="F186" s="117">
        <v>2</v>
      </c>
      <c r="G186" s="115">
        <v>3620</v>
      </c>
      <c r="H186" s="115" t="s">
        <v>1170</v>
      </c>
      <c r="I186" s="115" t="s">
        <v>197</v>
      </c>
      <c r="J186" s="116" t="s">
        <v>196</v>
      </c>
      <c r="K186" s="115" t="s">
        <v>13</v>
      </c>
      <c r="L186" s="116" t="s">
        <v>6</v>
      </c>
      <c r="M186" s="115">
        <v>1</v>
      </c>
      <c r="N186" s="115">
        <v>0</v>
      </c>
      <c r="O186" s="115">
        <v>0</v>
      </c>
      <c r="P186" s="115" t="s">
        <v>1440</v>
      </c>
      <c r="Q186" s="115"/>
      <c r="R186" s="70"/>
    </row>
    <row r="187" spans="1:18" s="69" customFormat="1" ht="20.25" customHeight="1" x14ac:dyDescent="0.2">
      <c r="A187" s="112" t="s">
        <v>193</v>
      </c>
      <c r="B187" s="112" t="s">
        <v>195</v>
      </c>
      <c r="C187" s="113" t="s">
        <v>194</v>
      </c>
      <c r="D187" s="112" t="s">
        <v>16</v>
      </c>
      <c r="E187" s="112" t="s">
        <v>1470</v>
      </c>
      <c r="F187" s="114">
        <v>5</v>
      </c>
      <c r="G187" s="112">
        <v>5660</v>
      </c>
      <c r="H187" s="112" t="s">
        <v>1471</v>
      </c>
      <c r="I187" s="112" t="s">
        <v>193</v>
      </c>
      <c r="J187" s="113" t="s">
        <v>192</v>
      </c>
      <c r="K187" s="112" t="s">
        <v>13</v>
      </c>
      <c r="L187" s="113" t="s">
        <v>6</v>
      </c>
      <c r="M187" s="112">
        <v>1</v>
      </c>
      <c r="N187" s="112">
        <v>1</v>
      </c>
      <c r="O187" s="112">
        <v>1</v>
      </c>
      <c r="P187" s="112" t="s">
        <v>1472</v>
      </c>
      <c r="Q187" s="112"/>
      <c r="R187" s="70"/>
    </row>
    <row r="188" spans="1:18" s="69" customFormat="1" ht="20.25" customHeight="1" x14ac:dyDescent="0.2">
      <c r="A188" s="115" t="s">
        <v>189</v>
      </c>
      <c r="B188" s="115" t="s">
        <v>191</v>
      </c>
      <c r="C188" s="116" t="s">
        <v>190</v>
      </c>
      <c r="D188" s="115" t="s">
        <v>16</v>
      </c>
      <c r="E188" s="115" t="s">
        <v>1473</v>
      </c>
      <c r="F188" s="117">
        <v>50</v>
      </c>
      <c r="G188" s="115">
        <v>4400</v>
      </c>
      <c r="H188" s="115" t="s">
        <v>1474</v>
      </c>
      <c r="I188" s="115" t="s">
        <v>189</v>
      </c>
      <c r="J188" s="116" t="s">
        <v>188</v>
      </c>
      <c r="K188" s="115" t="s">
        <v>13</v>
      </c>
      <c r="L188" s="116" t="s">
        <v>6</v>
      </c>
      <c r="M188" s="115">
        <v>1</v>
      </c>
      <c r="N188" s="115">
        <v>1</v>
      </c>
      <c r="O188" s="115">
        <v>1</v>
      </c>
      <c r="P188" s="115" t="s">
        <v>1475</v>
      </c>
      <c r="Q188" s="115"/>
      <c r="R188" s="70"/>
    </row>
    <row r="189" spans="1:18" s="69" customFormat="1" ht="20.25" customHeight="1" x14ac:dyDescent="0.2">
      <c r="A189" s="112" t="s">
        <v>185</v>
      </c>
      <c r="B189" s="112" t="s">
        <v>187</v>
      </c>
      <c r="C189" s="113" t="s">
        <v>186</v>
      </c>
      <c r="D189" s="112" t="s">
        <v>16</v>
      </c>
      <c r="E189" s="112" t="s">
        <v>1476</v>
      </c>
      <c r="F189" s="114">
        <v>125</v>
      </c>
      <c r="G189" s="112">
        <v>3920</v>
      </c>
      <c r="H189" s="112" t="s">
        <v>1233</v>
      </c>
      <c r="I189" s="112" t="s">
        <v>185</v>
      </c>
      <c r="J189" s="113" t="s">
        <v>184</v>
      </c>
      <c r="K189" s="112" t="s">
        <v>13</v>
      </c>
      <c r="L189" s="113" t="s">
        <v>6</v>
      </c>
      <c r="M189" s="112">
        <v>1</v>
      </c>
      <c r="N189" s="112">
        <v>0</v>
      </c>
      <c r="O189" s="112">
        <v>0</v>
      </c>
      <c r="P189" s="112" t="s">
        <v>1477</v>
      </c>
      <c r="Q189" s="112" t="s">
        <v>1478</v>
      </c>
      <c r="R189" s="70"/>
    </row>
    <row r="190" spans="1:18" s="69" customFormat="1" ht="20.25" customHeight="1" x14ac:dyDescent="0.2">
      <c r="A190" s="115" t="s">
        <v>181</v>
      </c>
      <c r="B190" s="115" t="s">
        <v>183</v>
      </c>
      <c r="C190" s="116" t="s">
        <v>182</v>
      </c>
      <c r="D190" s="115" t="s">
        <v>16</v>
      </c>
      <c r="E190" s="115" t="s">
        <v>1479</v>
      </c>
      <c r="F190" s="117">
        <v>1</v>
      </c>
      <c r="G190" s="115">
        <v>2480</v>
      </c>
      <c r="H190" s="115" t="s">
        <v>1480</v>
      </c>
      <c r="I190" s="115" t="s">
        <v>181</v>
      </c>
      <c r="J190" s="116" t="s">
        <v>180</v>
      </c>
      <c r="K190" s="115" t="s">
        <v>13</v>
      </c>
      <c r="L190" s="116" t="s">
        <v>19</v>
      </c>
      <c r="M190" s="115">
        <v>1</v>
      </c>
      <c r="N190" s="115">
        <v>0</v>
      </c>
      <c r="O190" s="115">
        <v>0</v>
      </c>
      <c r="P190" s="115" t="s">
        <v>1481</v>
      </c>
      <c r="Q190" s="115"/>
      <c r="R190" s="70"/>
    </row>
    <row r="191" spans="1:18" s="69" customFormat="1" ht="20.25" customHeight="1" x14ac:dyDescent="0.2">
      <c r="A191" s="162" t="s">
        <v>1622</v>
      </c>
      <c r="B191" s="162" t="s">
        <v>1642</v>
      </c>
      <c r="C191" s="163" t="s">
        <v>1643</v>
      </c>
      <c r="D191" s="162" t="s">
        <v>16</v>
      </c>
      <c r="E191" s="162" t="s">
        <v>1644</v>
      </c>
      <c r="F191" s="164">
        <v>1</v>
      </c>
      <c r="G191" s="162">
        <v>5300</v>
      </c>
      <c r="H191" s="162" t="s">
        <v>1645</v>
      </c>
      <c r="I191" s="162" t="s">
        <v>1646</v>
      </c>
      <c r="J191" s="163" t="s">
        <v>1647</v>
      </c>
      <c r="K191" s="162" t="s">
        <v>13</v>
      </c>
      <c r="L191" s="163" t="s">
        <v>6</v>
      </c>
      <c r="M191" s="162">
        <v>1</v>
      </c>
      <c r="N191" s="162">
        <v>1</v>
      </c>
      <c r="O191" s="162">
        <v>1</v>
      </c>
      <c r="P191" s="162" t="s">
        <v>1648</v>
      </c>
      <c r="Q191" s="162"/>
      <c r="R191" s="70"/>
    </row>
    <row r="192" spans="1:18" s="69" customFormat="1" ht="20.25" customHeight="1" x14ac:dyDescent="0.2">
      <c r="A192" s="115" t="s">
        <v>997</v>
      </c>
      <c r="B192" s="115" t="s">
        <v>673</v>
      </c>
      <c r="C192" s="116" t="s">
        <v>672</v>
      </c>
      <c r="D192" s="115" t="s">
        <v>16</v>
      </c>
      <c r="E192" s="115" t="s">
        <v>1482</v>
      </c>
      <c r="F192" s="117">
        <v>19</v>
      </c>
      <c r="G192" s="115">
        <v>7011</v>
      </c>
      <c r="H192" s="115" t="s">
        <v>1334</v>
      </c>
      <c r="I192" s="115" t="s">
        <v>997</v>
      </c>
      <c r="J192" s="116" t="s">
        <v>671</v>
      </c>
      <c r="K192" s="115" t="s">
        <v>13</v>
      </c>
      <c r="L192" s="116" t="s">
        <v>6</v>
      </c>
      <c r="M192" s="115">
        <v>1</v>
      </c>
      <c r="N192" s="115">
        <v>1</v>
      </c>
      <c r="O192" s="115">
        <v>1</v>
      </c>
      <c r="P192" s="115" t="s">
        <v>1483</v>
      </c>
      <c r="Q192" s="115"/>
      <c r="R192" s="70"/>
    </row>
    <row r="193" spans="1:18" s="69" customFormat="1" ht="20.25" customHeight="1" x14ac:dyDescent="0.2">
      <c r="A193" s="112" t="s">
        <v>177</v>
      </c>
      <c r="B193" s="112" t="s">
        <v>179</v>
      </c>
      <c r="C193" s="113" t="s">
        <v>178</v>
      </c>
      <c r="D193" s="112" t="s">
        <v>16</v>
      </c>
      <c r="E193" s="112" t="s">
        <v>1291</v>
      </c>
      <c r="F193" s="114">
        <v>8</v>
      </c>
      <c r="G193" s="112">
        <v>6790</v>
      </c>
      <c r="H193" s="112" t="s">
        <v>1292</v>
      </c>
      <c r="I193" s="112" t="s">
        <v>177</v>
      </c>
      <c r="J193" s="113" t="s">
        <v>176</v>
      </c>
      <c r="K193" s="112" t="s">
        <v>13</v>
      </c>
      <c r="L193" s="113" t="s">
        <v>6</v>
      </c>
      <c r="M193" s="112">
        <v>1</v>
      </c>
      <c r="N193" s="112">
        <v>0</v>
      </c>
      <c r="O193" s="112">
        <v>0</v>
      </c>
      <c r="P193" s="112" t="s">
        <v>1484</v>
      </c>
      <c r="Q193" s="112"/>
      <c r="R193" s="70"/>
    </row>
    <row r="194" spans="1:18" s="69" customFormat="1" ht="20.25" customHeight="1" x14ac:dyDescent="0.2">
      <c r="A194" s="115" t="s">
        <v>173</v>
      </c>
      <c r="B194" s="115" t="s">
        <v>175</v>
      </c>
      <c r="C194" s="116" t="s">
        <v>174</v>
      </c>
      <c r="D194" s="115" t="s">
        <v>16</v>
      </c>
      <c r="E194" s="115" t="s">
        <v>1485</v>
      </c>
      <c r="F194" s="117" t="s">
        <v>1486</v>
      </c>
      <c r="G194" s="115">
        <v>6790</v>
      </c>
      <c r="H194" s="115" t="s">
        <v>1292</v>
      </c>
      <c r="I194" s="115" t="s">
        <v>173</v>
      </c>
      <c r="J194" s="116" t="s">
        <v>172</v>
      </c>
      <c r="K194" s="115" t="s">
        <v>13</v>
      </c>
      <c r="L194" s="116" t="s">
        <v>6</v>
      </c>
      <c r="M194" s="115">
        <v>1</v>
      </c>
      <c r="N194" s="115">
        <v>0</v>
      </c>
      <c r="O194" s="115">
        <v>0</v>
      </c>
      <c r="P194" s="115" t="s">
        <v>1487</v>
      </c>
      <c r="Q194" s="115"/>
      <c r="R194" s="70"/>
    </row>
    <row r="195" spans="1:18" s="69" customFormat="1" ht="20.25" customHeight="1" x14ac:dyDescent="0.2">
      <c r="A195" s="112" t="s">
        <v>169</v>
      </c>
      <c r="B195" s="112" t="s">
        <v>171</v>
      </c>
      <c r="C195" s="113" t="s">
        <v>170</v>
      </c>
      <c r="D195" s="112" t="s">
        <v>16</v>
      </c>
      <c r="E195" s="112" t="s">
        <v>1488</v>
      </c>
      <c r="F195" s="114">
        <v>75</v>
      </c>
      <c r="G195" s="112">
        <v>6800</v>
      </c>
      <c r="H195" s="112" t="s">
        <v>1489</v>
      </c>
      <c r="I195" s="112" t="s">
        <v>169</v>
      </c>
      <c r="J195" s="113" t="s">
        <v>168</v>
      </c>
      <c r="K195" s="112" t="s">
        <v>13</v>
      </c>
      <c r="L195" s="113" t="s">
        <v>6</v>
      </c>
      <c r="M195" s="112">
        <v>1</v>
      </c>
      <c r="N195" s="112">
        <v>0</v>
      </c>
      <c r="O195" s="112">
        <v>0</v>
      </c>
      <c r="P195" s="112" t="s">
        <v>1490</v>
      </c>
      <c r="Q195" s="112"/>
      <c r="R195" s="70"/>
    </row>
    <row r="196" spans="1:18" s="69" customFormat="1" ht="20.25" customHeight="1" x14ac:dyDescent="0.2">
      <c r="A196" s="115" t="s">
        <v>165</v>
      </c>
      <c r="B196" s="115" t="s">
        <v>167</v>
      </c>
      <c r="C196" s="116" t="s">
        <v>166</v>
      </c>
      <c r="D196" s="115" t="s">
        <v>16</v>
      </c>
      <c r="E196" s="115" t="s">
        <v>1491</v>
      </c>
      <c r="F196" s="117">
        <v>5</v>
      </c>
      <c r="G196" s="115">
        <v>6041</v>
      </c>
      <c r="H196" s="115" t="s">
        <v>1492</v>
      </c>
      <c r="I196" s="115" t="s">
        <v>165</v>
      </c>
      <c r="J196" s="116" t="s">
        <v>164</v>
      </c>
      <c r="K196" s="115" t="s">
        <v>13</v>
      </c>
      <c r="L196" s="116" t="s">
        <v>6</v>
      </c>
      <c r="M196" s="115">
        <v>1</v>
      </c>
      <c r="N196" s="115">
        <v>0</v>
      </c>
      <c r="O196" s="115">
        <v>0</v>
      </c>
      <c r="P196" s="115" t="s">
        <v>1493</v>
      </c>
      <c r="Q196" s="115"/>
      <c r="R196" s="70"/>
    </row>
    <row r="197" spans="1:18" s="69" customFormat="1" ht="20.25" customHeight="1" x14ac:dyDescent="0.2">
      <c r="A197" s="112" t="s">
        <v>161</v>
      </c>
      <c r="B197" s="112" t="s">
        <v>163</v>
      </c>
      <c r="C197" s="113" t="s">
        <v>162</v>
      </c>
      <c r="D197" s="112" t="s">
        <v>16</v>
      </c>
      <c r="E197" s="112" t="s">
        <v>1494</v>
      </c>
      <c r="F197" s="114">
        <v>1</v>
      </c>
      <c r="G197" s="112">
        <v>6041</v>
      </c>
      <c r="H197" s="112" t="s">
        <v>1492</v>
      </c>
      <c r="I197" s="112" t="s">
        <v>161</v>
      </c>
      <c r="J197" s="113" t="s">
        <v>160</v>
      </c>
      <c r="K197" s="112" t="s">
        <v>13</v>
      </c>
      <c r="L197" s="113" t="s">
        <v>6</v>
      </c>
      <c r="M197" s="112">
        <v>1</v>
      </c>
      <c r="N197" s="112">
        <v>0</v>
      </c>
      <c r="O197" s="112">
        <v>0</v>
      </c>
      <c r="P197" s="112" t="s">
        <v>1495</v>
      </c>
      <c r="Q197" s="112"/>
      <c r="R197" s="70"/>
    </row>
    <row r="198" spans="1:18" s="69" customFormat="1" ht="20.25" customHeight="1" x14ac:dyDescent="0.2">
      <c r="A198" s="115" t="s">
        <v>157</v>
      </c>
      <c r="B198" s="115" t="s">
        <v>159</v>
      </c>
      <c r="C198" s="116" t="s">
        <v>158</v>
      </c>
      <c r="D198" s="115" t="s">
        <v>16</v>
      </c>
      <c r="E198" s="115" t="s">
        <v>1496</v>
      </c>
      <c r="F198" s="117">
        <v>4</v>
      </c>
      <c r="G198" s="115">
        <v>6220</v>
      </c>
      <c r="H198" s="115" t="s">
        <v>1037</v>
      </c>
      <c r="I198" s="115" t="s">
        <v>157</v>
      </c>
      <c r="J198" s="116" t="s">
        <v>156</v>
      </c>
      <c r="K198" s="115" t="s">
        <v>13</v>
      </c>
      <c r="L198" s="116" t="s">
        <v>6</v>
      </c>
      <c r="M198" s="115">
        <v>1</v>
      </c>
      <c r="N198" s="115">
        <v>1</v>
      </c>
      <c r="O198" s="115">
        <v>0</v>
      </c>
      <c r="P198" s="115" t="s">
        <v>1497</v>
      </c>
      <c r="Q198" s="115"/>
      <c r="R198" s="70"/>
    </row>
    <row r="199" spans="1:18" s="69" customFormat="1" ht="20.25" customHeight="1" x14ac:dyDescent="0.2">
      <c r="A199" s="112" t="s">
        <v>153</v>
      </c>
      <c r="B199" s="112" t="s">
        <v>155</v>
      </c>
      <c r="C199" s="113" t="s">
        <v>154</v>
      </c>
      <c r="D199" s="112" t="s">
        <v>16</v>
      </c>
      <c r="E199" s="112" t="s">
        <v>1498</v>
      </c>
      <c r="F199" s="114" t="s">
        <v>1025</v>
      </c>
      <c r="G199" s="112">
        <v>6690</v>
      </c>
      <c r="H199" s="112" t="s">
        <v>1499</v>
      </c>
      <c r="I199" s="112" t="s">
        <v>153</v>
      </c>
      <c r="J199" s="113" t="s">
        <v>152</v>
      </c>
      <c r="K199" s="112" t="s">
        <v>13</v>
      </c>
      <c r="L199" s="113" t="s">
        <v>6</v>
      </c>
      <c r="M199" s="112">
        <v>1</v>
      </c>
      <c r="N199" s="112">
        <v>1</v>
      </c>
      <c r="O199" s="112">
        <v>1</v>
      </c>
      <c r="P199" s="112" t="s">
        <v>1500</v>
      </c>
      <c r="Q199" s="112"/>
      <c r="R199" s="70"/>
    </row>
    <row r="200" spans="1:18" s="69" customFormat="1" ht="20.25" customHeight="1" x14ac:dyDescent="0.2">
      <c r="A200" s="112" t="s">
        <v>151</v>
      </c>
      <c r="B200" s="112" t="s">
        <v>150</v>
      </c>
      <c r="C200" s="113" t="s">
        <v>149</v>
      </c>
      <c r="D200" s="112" t="s">
        <v>16</v>
      </c>
      <c r="E200" s="112" t="s">
        <v>1501</v>
      </c>
      <c r="F200" s="114">
        <v>8</v>
      </c>
      <c r="G200" s="112">
        <v>9130</v>
      </c>
      <c r="H200" s="112" t="s">
        <v>1120</v>
      </c>
      <c r="I200" s="112" t="s">
        <v>148</v>
      </c>
      <c r="J200" s="113" t="s">
        <v>147</v>
      </c>
      <c r="K200" s="112" t="s">
        <v>13</v>
      </c>
      <c r="L200" s="113" t="s">
        <v>6</v>
      </c>
      <c r="M200" s="112">
        <v>1</v>
      </c>
      <c r="N200" s="112">
        <v>0</v>
      </c>
      <c r="O200" s="112">
        <v>0</v>
      </c>
      <c r="P200" s="112" t="s">
        <v>1502</v>
      </c>
      <c r="Q200" s="112"/>
      <c r="R200" s="70"/>
    </row>
    <row r="201" spans="1:18" s="69" customFormat="1" ht="20.25" customHeight="1" x14ac:dyDescent="0.2">
      <c r="A201" s="115" t="s">
        <v>144</v>
      </c>
      <c r="B201" s="115" t="s">
        <v>146</v>
      </c>
      <c r="C201" s="116" t="s">
        <v>145</v>
      </c>
      <c r="D201" s="115" t="s">
        <v>16</v>
      </c>
      <c r="E201" s="115" t="s">
        <v>1503</v>
      </c>
      <c r="F201" s="117">
        <v>200</v>
      </c>
      <c r="G201" s="115">
        <v>9000</v>
      </c>
      <c r="H201" s="115" t="s">
        <v>34</v>
      </c>
      <c r="I201" s="115" t="s">
        <v>144</v>
      </c>
      <c r="J201" s="116" t="s">
        <v>143</v>
      </c>
      <c r="K201" s="115" t="s">
        <v>13</v>
      </c>
      <c r="L201" s="116" t="s">
        <v>6</v>
      </c>
      <c r="M201" s="115">
        <v>1</v>
      </c>
      <c r="N201" s="115">
        <v>0</v>
      </c>
      <c r="O201" s="115">
        <v>0</v>
      </c>
      <c r="P201" s="115" t="s">
        <v>1504</v>
      </c>
      <c r="Q201" s="115"/>
      <c r="R201" s="70"/>
    </row>
    <row r="202" spans="1:18" s="69" customFormat="1" ht="20.25" customHeight="1" x14ac:dyDescent="0.2">
      <c r="A202" s="112" t="s">
        <v>140</v>
      </c>
      <c r="B202" s="112" t="s">
        <v>142</v>
      </c>
      <c r="C202" s="113" t="s">
        <v>141</v>
      </c>
      <c r="D202" s="112" t="s">
        <v>16</v>
      </c>
      <c r="E202" s="112" t="s">
        <v>1505</v>
      </c>
      <c r="F202" s="114" t="s">
        <v>1025</v>
      </c>
      <c r="G202" s="112">
        <v>9000</v>
      </c>
      <c r="H202" s="112" t="s">
        <v>34</v>
      </c>
      <c r="I202" s="112" t="s">
        <v>140</v>
      </c>
      <c r="J202" s="113" t="s">
        <v>139</v>
      </c>
      <c r="K202" s="112" t="s">
        <v>13</v>
      </c>
      <c r="L202" s="113" t="s">
        <v>6</v>
      </c>
      <c r="M202" s="112">
        <v>1</v>
      </c>
      <c r="N202" s="112">
        <v>1</v>
      </c>
      <c r="O202" s="112">
        <v>1</v>
      </c>
      <c r="P202" s="112" t="s">
        <v>1506</v>
      </c>
      <c r="Q202" s="112"/>
      <c r="R202" s="70"/>
    </row>
    <row r="203" spans="1:18" s="69" customFormat="1" ht="20.25" customHeight="1" x14ac:dyDescent="0.2">
      <c r="A203" s="115" t="s">
        <v>136</v>
      </c>
      <c r="B203" s="115" t="s">
        <v>138</v>
      </c>
      <c r="C203" s="116" t="s">
        <v>137</v>
      </c>
      <c r="D203" s="115" t="s">
        <v>16</v>
      </c>
      <c r="E203" s="115" t="s">
        <v>1507</v>
      </c>
      <c r="F203" s="117">
        <v>9</v>
      </c>
      <c r="G203" s="115">
        <v>4520</v>
      </c>
      <c r="H203" s="115" t="s">
        <v>1126</v>
      </c>
      <c r="I203" s="115" t="s">
        <v>136</v>
      </c>
      <c r="J203" s="116" t="s">
        <v>135</v>
      </c>
      <c r="K203" s="115" t="s">
        <v>13</v>
      </c>
      <c r="L203" s="116" t="s">
        <v>6</v>
      </c>
      <c r="M203" s="115">
        <v>1</v>
      </c>
      <c r="N203" s="115">
        <v>1</v>
      </c>
      <c r="O203" s="115">
        <v>1</v>
      </c>
      <c r="P203" s="115" t="s">
        <v>1508</v>
      </c>
      <c r="Q203" s="115"/>
      <c r="R203" s="70"/>
    </row>
    <row r="204" spans="1:18" s="69" customFormat="1" ht="20.25" customHeight="1" x14ac:dyDescent="0.2">
      <c r="A204" s="112" t="s">
        <v>132</v>
      </c>
      <c r="B204" s="112" t="s">
        <v>134</v>
      </c>
      <c r="C204" s="113" t="s">
        <v>133</v>
      </c>
      <c r="D204" s="112" t="s">
        <v>16</v>
      </c>
      <c r="E204" s="112" t="s">
        <v>1509</v>
      </c>
      <c r="F204" s="114">
        <v>80</v>
      </c>
      <c r="G204" s="112">
        <v>3600</v>
      </c>
      <c r="H204" s="112" t="s">
        <v>1077</v>
      </c>
      <c r="I204" s="112" t="s">
        <v>132</v>
      </c>
      <c r="J204" s="113" t="s">
        <v>131</v>
      </c>
      <c r="K204" s="112" t="s">
        <v>13</v>
      </c>
      <c r="L204" s="113" t="s">
        <v>6</v>
      </c>
      <c r="M204" s="112">
        <v>1</v>
      </c>
      <c r="N204" s="112">
        <v>1</v>
      </c>
      <c r="O204" s="112">
        <v>0</v>
      </c>
      <c r="P204" s="112" t="s">
        <v>1510</v>
      </c>
      <c r="Q204" s="112"/>
      <c r="R204" s="70"/>
    </row>
    <row r="205" spans="1:18" s="69" customFormat="1" ht="20.25" customHeight="1" x14ac:dyDescent="0.2">
      <c r="A205" s="115" t="s">
        <v>128</v>
      </c>
      <c r="B205" s="115" t="s">
        <v>130</v>
      </c>
      <c r="C205" s="116" t="s">
        <v>129</v>
      </c>
      <c r="D205" s="115" t="s">
        <v>16</v>
      </c>
      <c r="E205" s="115" t="s">
        <v>1511</v>
      </c>
      <c r="F205" s="117">
        <v>37</v>
      </c>
      <c r="G205" s="115">
        <v>7180</v>
      </c>
      <c r="H205" s="115" t="s">
        <v>1273</v>
      </c>
      <c r="I205" s="115" t="s">
        <v>128</v>
      </c>
      <c r="J205" s="116" t="s">
        <v>127</v>
      </c>
      <c r="K205" s="115" t="s">
        <v>13</v>
      </c>
      <c r="L205" s="116" t="s">
        <v>6</v>
      </c>
      <c r="M205" s="115">
        <v>1</v>
      </c>
      <c r="N205" s="115">
        <v>0</v>
      </c>
      <c r="O205" s="115">
        <v>0</v>
      </c>
      <c r="P205" s="115" t="s">
        <v>1512</v>
      </c>
      <c r="Q205" s="115"/>
      <c r="R205" s="70"/>
    </row>
    <row r="206" spans="1:18" s="69" customFormat="1" ht="20.25" customHeight="1" x14ac:dyDescent="0.2">
      <c r="A206" s="115" t="s">
        <v>124</v>
      </c>
      <c r="B206" s="115" t="s">
        <v>126</v>
      </c>
      <c r="C206" s="116" t="s">
        <v>125</v>
      </c>
      <c r="D206" s="115" t="s">
        <v>16</v>
      </c>
      <c r="E206" s="115" t="s">
        <v>1513</v>
      </c>
      <c r="F206" s="117">
        <v>207</v>
      </c>
      <c r="G206" s="115">
        <v>9000</v>
      </c>
      <c r="H206" s="115" t="s">
        <v>34</v>
      </c>
      <c r="I206" s="115" t="s">
        <v>124</v>
      </c>
      <c r="J206" s="116" t="s">
        <v>123</v>
      </c>
      <c r="K206" s="115" t="s">
        <v>13</v>
      </c>
      <c r="L206" s="116" t="s">
        <v>6</v>
      </c>
      <c r="M206" s="115">
        <v>1</v>
      </c>
      <c r="N206" s="115">
        <v>0</v>
      </c>
      <c r="O206" s="115">
        <v>1</v>
      </c>
      <c r="P206" s="115" t="s">
        <v>1514</v>
      </c>
      <c r="Q206" s="115"/>
      <c r="R206" s="70"/>
    </row>
    <row r="207" spans="1:18" s="69" customFormat="1" ht="20.25" customHeight="1" x14ac:dyDescent="0.2">
      <c r="A207" s="112" t="s">
        <v>998</v>
      </c>
      <c r="B207" s="112" t="s">
        <v>122</v>
      </c>
      <c r="C207" s="113" t="s">
        <v>121</v>
      </c>
      <c r="D207" s="112" t="s">
        <v>16</v>
      </c>
      <c r="E207" s="112" t="s">
        <v>1515</v>
      </c>
      <c r="F207" s="114">
        <v>10</v>
      </c>
      <c r="G207" s="112">
        <v>9300</v>
      </c>
      <c r="H207" s="112" t="s">
        <v>1516</v>
      </c>
      <c r="I207" s="112" t="s">
        <v>120</v>
      </c>
      <c r="J207" s="113" t="s">
        <v>119</v>
      </c>
      <c r="K207" s="112" t="s">
        <v>7</v>
      </c>
      <c r="L207" s="113" t="s">
        <v>6</v>
      </c>
      <c r="M207" s="112">
        <v>1</v>
      </c>
      <c r="N207" s="112">
        <v>0</v>
      </c>
      <c r="O207" s="112">
        <v>0</v>
      </c>
      <c r="P207" s="112" t="s">
        <v>1394</v>
      </c>
      <c r="Q207" s="112"/>
      <c r="R207" s="70"/>
    </row>
    <row r="208" spans="1:18" s="69" customFormat="1" ht="20.25" customHeight="1" x14ac:dyDescent="0.2">
      <c r="A208" s="115" t="s">
        <v>999</v>
      </c>
      <c r="B208" s="115" t="s">
        <v>1000</v>
      </c>
      <c r="C208" s="116" t="s">
        <v>1001</v>
      </c>
      <c r="D208" s="115" t="s">
        <v>16</v>
      </c>
      <c r="E208" s="115" t="s">
        <v>1517</v>
      </c>
      <c r="F208" s="117">
        <v>32</v>
      </c>
      <c r="G208" s="115">
        <v>3945</v>
      </c>
      <c r="H208" s="115" t="s">
        <v>1518</v>
      </c>
      <c r="I208" s="115" t="s">
        <v>999</v>
      </c>
      <c r="J208" s="116" t="s">
        <v>1002</v>
      </c>
      <c r="K208" s="115" t="s">
        <v>13</v>
      </c>
      <c r="L208" s="116" t="s">
        <v>6</v>
      </c>
      <c r="M208" s="115">
        <v>1</v>
      </c>
      <c r="N208" s="115">
        <v>0</v>
      </c>
      <c r="O208" s="115">
        <v>0</v>
      </c>
      <c r="P208" s="115" t="s">
        <v>1519</v>
      </c>
      <c r="Q208" s="115"/>
      <c r="R208" s="70"/>
    </row>
    <row r="209" spans="1:18" s="69" customFormat="1" ht="20.25" customHeight="1" x14ac:dyDescent="0.2">
      <c r="A209" s="112" t="s">
        <v>116</v>
      </c>
      <c r="B209" s="112" t="s">
        <v>118</v>
      </c>
      <c r="C209" s="113" t="s">
        <v>117</v>
      </c>
      <c r="D209" s="112" t="s">
        <v>16</v>
      </c>
      <c r="E209" s="112" t="s">
        <v>1520</v>
      </c>
      <c r="F209" s="114">
        <v>260</v>
      </c>
      <c r="G209" s="112">
        <v>1800</v>
      </c>
      <c r="H209" s="112" t="s">
        <v>1409</v>
      </c>
      <c r="I209" s="112" t="s">
        <v>116</v>
      </c>
      <c r="J209" s="113" t="s">
        <v>115</v>
      </c>
      <c r="K209" s="112" t="s">
        <v>13</v>
      </c>
      <c r="L209" s="116" t="s">
        <v>6</v>
      </c>
      <c r="M209" s="112">
        <v>1</v>
      </c>
      <c r="N209" s="112">
        <v>1</v>
      </c>
      <c r="O209" s="112">
        <v>1</v>
      </c>
      <c r="P209" s="112" t="s">
        <v>1521</v>
      </c>
      <c r="Q209" s="166" t="s">
        <v>1612</v>
      </c>
      <c r="R209" s="70"/>
    </row>
    <row r="210" spans="1:18" s="69" customFormat="1" ht="20.25" customHeight="1" x14ac:dyDescent="0.2">
      <c r="A210" s="115" t="s">
        <v>112</v>
      </c>
      <c r="B210" s="115" t="s">
        <v>114</v>
      </c>
      <c r="C210" s="116" t="s">
        <v>113</v>
      </c>
      <c r="D210" s="115" t="s">
        <v>16</v>
      </c>
      <c r="E210" s="115" t="s">
        <v>1522</v>
      </c>
      <c r="F210" s="117">
        <v>1</v>
      </c>
      <c r="G210" s="115">
        <v>6000</v>
      </c>
      <c r="H210" s="115" t="s">
        <v>1040</v>
      </c>
      <c r="I210" s="115" t="s">
        <v>112</v>
      </c>
      <c r="J210" s="116" t="s">
        <v>111</v>
      </c>
      <c r="K210" s="115" t="s">
        <v>13</v>
      </c>
      <c r="L210" s="116" t="s">
        <v>6</v>
      </c>
      <c r="M210" s="115">
        <v>1</v>
      </c>
      <c r="N210" s="115">
        <v>1</v>
      </c>
      <c r="O210" s="115">
        <v>1</v>
      </c>
      <c r="P210" s="115" t="s">
        <v>1523</v>
      </c>
      <c r="Q210" s="115"/>
      <c r="R210" s="70"/>
    </row>
    <row r="211" spans="1:18" s="69" customFormat="1" ht="20.25" customHeight="1" x14ac:dyDescent="0.2">
      <c r="A211" s="112" t="s">
        <v>108</v>
      </c>
      <c r="B211" s="112" t="s">
        <v>110</v>
      </c>
      <c r="C211" s="113" t="s">
        <v>109</v>
      </c>
      <c r="D211" s="112" t="s">
        <v>16</v>
      </c>
      <c r="E211" s="112" t="s">
        <v>1524</v>
      </c>
      <c r="F211" s="114" t="s">
        <v>1025</v>
      </c>
      <c r="G211" s="112">
        <v>6000</v>
      </c>
      <c r="H211" s="112" t="s">
        <v>1040</v>
      </c>
      <c r="I211" s="112" t="s">
        <v>108</v>
      </c>
      <c r="J211" s="113" t="s">
        <v>107</v>
      </c>
      <c r="K211" s="112" t="s">
        <v>13</v>
      </c>
      <c r="L211" s="113" t="s">
        <v>6</v>
      </c>
      <c r="M211" s="112">
        <v>1</v>
      </c>
      <c r="N211" s="112">
        <v>1</v>
      </c>
      <c r="O211" s="112">
        <v>1</v>
      </c>
      <c r="P211" s="112" t="s">
        <v>1525</v>
      </c>
      <c r="Q211" s="112"/>
      <c r="R211" s="70"/>
    </row>
    <row r="212" spans="1:18" s="69" customFormat="1" ht="20.25" customHeight="1" x14ac:dyDescent="0.2">
      <c r="A212" s="115" t="s">
        <v>104</v>
      </c>
      <c r="B212" s="115" t="s">
        <v>106</v>
      </c>
      <c r="C212" s="116" t="s">
        <v>105</v>
      </c>
      <c r="D212" s="115" t="s">
        <v>16</v>
      </c>
      <c r="E212" s="115" t="s">
        <v>1526</v>
      </c>
      <c r="F212" s="117">
        <v>55</v>
      </c>
      <c r="G212" s="115">
        <v>4020</v>
      </c>
      <c r="H212" s="115" t="s">
        <v>1527</v>
      </c>
      <c r="I212" s="115" t="s">
        <v>104</v>
      </c>
      <c r="J212" s="116" t="s">
        <v>103</v>
      </c>
      <c r="K212" s="115" t="s">
        <v>13</v>
      </c>
      <c r="L212" s="116" t="s">
        <v>6</v>
      </c>
      <c r="M212" s="115">
        <v>1</v>
      </c>
      <c r="N212" s="115">
        <v>0</v>
      </c>
      <c r="O212" s="115">
        <v>0</v>
      </c>
      <c r="P212" s="115" t="s">
        <v>1528</v>
      </c>
      <c r="Q212" s="115"/>
      <c r="R212" s="70"/>
    </row>
    <row r="213" spans="1:18" s="69" customFormat="1" ht="20.25" customHeight="1" x14ac:dyDescent="0.2">
      <c r="A213" s="112" t="s">
        <v>100</v>
      </c>
      <c r="B213" s="112" t="s">
        <v>102</v>
      </c>
      <c r="C213" s="113" t="s">
        <v>101</v>
      </c>
      <c r="D213" s="112" t="s">
        <v>16</v>
      </c>
      <c r="E213" s="112" t="s">
        <v>1529</v>
      </c>
      <c r="F213" s="114">
        <v>1</v>
      </c>
      <c r="G213" s="112">
        <v>3300</v>
      </c>
      <c r="H213" s="112" t="s">
        <v>1129</v>
      </c>
      <c r="I213" s="112" t="s">
        <v>100</v>
      </c>
      <c r="J213" s="113" t="s">
        <v>99</v>
      </c>
      <c r="K213" s="112" t="s">
        <v>13</v>
      </c>
      <c r="L213" s="113" t="s">
        <v>19</v>
      </c>
      <c r="M213" s="112">
        <v>1</v>
      </c>
      <c r="N213" s="112">
        <v>0</v>
      </c>
      <c r="O213" s="112">
        <v>0</v>
      </c>
      <c r="P213" s="112" t="s">
        <v>1530</v>
      </c>
      <c r="Q213" s="112"/>
      <c r="R213" s="70"/>
    </row>
    <row r="214" spans="1:18" s="69" customFormat="1" ht="20.25" customHeight="1" x14ac:dyDescent="0.2">
      <c r="A214" s="115" t="s">
        <v>96</v>
      </c>
      <c r="B214" s="115" t="s">
        <v>98</v>
      </c>
      <c r="C214" s="116" t="s">
        <v>97</v>
      </c>
      <c r="D214" s="115" t="s">
        <v>16</v>
      </c>
      <c r="E214" s="115" t="s">
        <v>1531</v>
      </c>
      <c r="F214" s="117">
        <v>4</v>
      </c>
      <c r="G214" s="115">
        <v>6030</v>
      </c>
      <c r="H214" s="115" t="s">
        <v>1054</v>
      </c>
      <c r="I214" s="115" t="s">
        <v>96</v>
      </c>
      <c r="J214" s="116" t="s">
        <v>95</v>
      </c>
      <c r="K214" s="115" t="s">
        <v>13</v>
      </c>
      <c r="L214" s="116" t="s">
        <v>6</v>
      </c>
      <c r="M214" s="115">
        <v>1</v>
      </c>
      <c r="N214" s="115">
        <v>1</v>
      </c>
      <c r="O214" s="115">
        <v>1</v>
      </c>
      <c r="P214" s="115" t="s">
        <v>1532</v>
      </c>
      <c r="Q214" s="115"/>
      <c r="R214" s="70"/>
    </row>
    <row r="215" spans="1:18" s="69" customFormat="1" ht="20.25" customHeight="1" x14ac:dyDescent="0.2">
      <c r="A215" s="112" t="s">
        <v>91</v>
      </c>
      <c r="B215" s="112" t="s">
        <v>94</v>
      </c>
      <c r="C215" s="113" t="s">
        <v>93</v>
      </c>
      <c r="D215" s="112" t="s">
        <v>16</v>
      </c>
      <c r="E215" s="112" t="s">
        <v>1533</v>
      </c>
      <c r="F215" s="114">
        <v>1</v>
      </c>
      <c r="G215" s="112">
        <v>9170</v>
      </c>
      <c r="H215" s="112" t="s">
        <v>1534</v>
      </c>
      <c r="I215" s="112" t="s">
        <v>91</v>
      </c>
      <c r="J215" s="113" t="s">
        <v>90</v>
      </c>
      <c r="K215" s="112" t="s">
        <v>13</v>
      </c>
      <c r="L215" s="113" t="s">
        <v>6</v>
      </c>
      <c r="M215" s="112">
        <v>1</v>
      </c>
      <c r="N215" s="112">
        <v>0</v>
      </c>
      <c r="O215" s="112">
        <v>0</v>
      </c>
      <c r="P215" s="112" t="s">
        <v>1535</v>
      </c>
      <c r="Q215" s="112"/>
      <c r="R215" s="70"/>
    </row>
    <row r="216" spans="1:18" s="69" customFormat="1" ht="20.25" customHeight="1" x14ac:dyDescent="0.2">
      <c r="A216" s="115" t="s">
        <v>87</v>
      </c>
      <c r="B216" s="115" t="s">
        <v>89</v>
      </c>
      <c r="C216" s="116" t="s">
        <v>88</v>
      </c>
      <c r="D216" s="115" t="s">
        <v>16</v>
      </c>
      <c r="E216" s="115" t="s">
        <v>1108</v>
      </c>
      <c r="F216" s="117">
        <v>10</v>
      </c>
      <c r="G216" s="115">
        <v>2030</v>
      </c>
      <c r="H216" s="115" t="s">
        <v>1050</v>
      </c>
      <c r="I216" s="115" t="s">
        <v>87</v>
      </c>
      <c r="J216" s="116" t="s">
        <v>86</v>
      </c>
      <c r="K216" s="115" t="s">
        <v>13</v>
      </c>
      <c r="L216" s="116" t="s">
        <v>6</v>
      </c>
      <c r="M216" s="115">
        <v>1</v>
      </c>
      <c r="N216" s="115">
        <v>1</v>
      </c>
      <c r="O216" s="115">
        <v>0</v>
      </c>
      <c r="P216" s="115" t="s">
        <v>1536</v>
      </c>
      <c r="Q216" s="115"/>
      <c r="R216" s="70"/>
    </row>
    <row r="217" spans="1:18" s="69" customFormat="1" ht="20.25" customHeight="1" x14ac:dyDescent="0.2">
      <c r="A217" s="112" t="s">
        <v>83</v>
      </c>
      <c r="B217" s="112" t="s">
        <v>85</v>
      </c>
      <c r="C217" s="113" t="s">
        <v>84</v>
      </c>
      <c r="D217" s="112" t="s">
        <v>16</v>
      </c>
      <c r="E217" s="112" t="s">
        <v>1537</v>
      </c>
      <c r="F217" s="114">
        <v>10</v>
      </c>
      <c r="G217" s="112">
        <v>2070</v>
      </c>
      <c r="H217" s="112" t="s">
        <v>1029</v>
      </c>
      <c r="I217" s="112" t="s">
        <v>83</v>
      </c>
      <c r="J217" s="113" t="s">
        <v>82</v>
      </c>
      <c r="K217" s="112" t="s">
        <v>13</v>
      </c>
      <c r="L217" s="113" t="s">
        <v>6</v>
      </c>
      <c r="M217" s="112">
        <v>1</v>
      </c>
      <c r="N217" s="112">
        <v>0</v>
      </c>
      <c r="O217" s="112">
        <v>0</v>
      </c>
      <c r="P217" s="112" t="s">
        <v>1538</v>
      </c>
      <c r="Q217" s="112"/>
      <c r="R217" s="70"/>
    </row>
    <row r="218" spans="1:18" s="69" customFormat="1" ht="20.25" customHeight="1" x14ac:dyDescent="0.2">
      <c r="A218" s="115" t="s">
        <v>79</v>
      </c>
      <c r="B218" s="115" t="s">
        <v>81</v>
      </c>
      <c r="C218" s="116" t="s">
        <v>80</v>
      </c>
      <c r="D218" s="115" t="s">
        <v>16</v>
      </c>
      <c r="E218" s="115" t="s">
        <v>1539</v>
      </c>
      <c r="F218" s="117" t="s">
        <v>1025</v>
      </c>
      <c r="G218" s="115">
        <v>7181</v>
      </c>
      <c r="H218" s="115" t="s">
        <v>1173</v>
      </c>
      <c r="I218" s="115" t="s">
        <v>79</v>
      </c>
      <c r="J218" s="116" t="s">
        <v>78</v>
      </c>
      <c r="K218" s="115" t="s">
        <v>13</v>
      </c>
      <c r="L218" s="116" t="s">
        <v>6</v>
      </c>
      <c r="M218" s="115">
        <v>1</v>
      </c>
      <c r="N218" s="115">
        <v>0</v>
      </c>
      <c r="O218" s="115">
        <v>0</v>
      </c>
      <c r="P218" s="115" t="s">
        <v>1540</v>
      </c>
      <c r="Q218" s="115"/>
      <c r="R218" s="70"/>
    </row>
    <row r="219" spans="1:18" s="69" customFormat="1" ht="20.25" customHeight="1" x14ac:dyDescent="0.2">
      <c r="A219" s="112" t="s">
        <v>75</v>
      </c>
      <c r="B219" s="112" t="s">
        <v>77</v>
      </c>
      <c r="C219" s="113" t="s">
        <v>76</v>
      </c>
      <c r="D219" s="112" t="s">
        <v>16</v>
      </c>
      <c r="E219" s="112" t="s">
        <v>1108</v>
      </c>
      <c r="F219" s="114">
        <v>4</v>
      </c>
      <c r="G219" s="112">
        <v>2030</v>
      </c>
      <c r="H219" s="112" t="s">
        <v>1050</v>
      </c>
      <c r="I219" s="112" t="s">
        <v>75</v>
      </c>
      <c r="J219" s="113" t="s">
        <v>74</v>
      </c>
      <c r="K219" s="112" t="s">
        <v>13</v>
      </c>
      <c r="L219" s="113" t="s">
        <v>6</v>
      </c>
      <c r="M219" s="112">
        <v>1</v>
      </c>
      <c r="N219" s="112">
        <v>0</v>
      </c>
      <c r="O219" s="112">
        <v>0</v>
      </c>
      <c r="P219" s="112" t="s">
        <v>1541</v>
      </c>
      <c r="Q219" s="112" t="s">
        <v>1098</v>
      </c>
      <c r="R219" s="70"/>
    </row>
    <row r="220" spans="1:18" s="69" customFormat="1" ht="20.25" customHeight="1" x14ac:dyDescent="0.2">
      <c r="A220" s="115" t="s">
        <v>71</v>
      </c>
      <c r="B220" s="115" t="s">
        <v>73</v>
      </c>
      <c r="C220" s="116" t="s">
        <v>72</v>
      </c>
      <c r="D220" s="115" t="s">
        <v>16</v>
      </c>
      <c r="E220" s="115" t="s">
        <v>1108</v>
      </c>
      <c r="F220" s="117">
        <v>4</v>
      </c>
      <c r="G220" s="115">
        <v>2030</v>
      </c>
      <c r="H220" s="115" t="s">
        <v>1050</v>
      </c>
      <c r="I220" s="115" t="s">
        <v>71</v>
      </c>
      <c r="J220" s="116" t="s">
        <v>70</v>
      </c>
      <c r="K220" s="115" t="s">
        <v>13</v>
      </c>
      <c r="L220" s="116" t="s">
        <v>6</v>
      </c>
      <c r="M220" s="115">
        <v>1</v>
      </c>
      <c r="N220" s="115">
        <v>0</v>
      </c>
      <c r="O220" s="115">
        <v>0</v>
      </c>
      <c r="P220" s="115" t="s">
        <v>1542</v>
      </c>
      <c r="Q220" s="115"/>
      <c r="R220" s="70"/>
    </row>
    <row r="221" spans="1:18" s="69" customFormat="1" ht="20.25" customHeight="1" x14ac:dyDescent="0.2">
      <c r="A221" s="112" t="s">
        <v>67</v>
      </c>
      <c r="B221" s="112" t="s">
        <v>69</v>
      </c>
      <c r="C221" s="113" t="s">
        <v>68</v>
      </c>
      <c r="D221" s="112" t="s">
        <v>16</v>
      </c>
      <c r="E221" s="112" t="s">
        <v>1543</v>
      </c>
      <c r="F221" s="114">
        <v>2</v>
      </c>
      <c r="G221" s="112">
        <v>2440</v>
      </c>
      <c r="H221" s="112" t="s">
        <v>1276</v>
      </c>
      <c r="I221" s="112" t="s">
        <v>67</v>
      </c>
      <c r="J221" s="113" t="s">
        <v>66</v>
      </c>
      <c r="K221" s="112" t="s">
        <v>13</v>
      </c>
      <c r="L221" s="113" t="s">
        <v>6</v>
      </c>
      <c r="M221" s="112">
        <v>1</v>
      </c>
      <c r="N221" s="112">
        <v>0</v>
      </c>
      <c r="O221" s="112">
        <v>0</v>
      </c>
      <c r="P221" s="112" t="s">
        <v>1544</v>
      </c>
      <c r="Q221" s="112" t="s">
        <v>1045</v>
      </c>
      <c r="R221" s="70"/>
    </row>
    <row r="222" spans="1:18" s="69" customFormat="1" ht="20.25" customHeight="1" x14ac:dyDescent="0.2">
      <c r="A222" s="112" t="s">
        <v>1003</v>
      </c>
      <c r="B222" s="112" t="s">
        <v>559</v>
      </c>
      <c r="C222" s="113" t="s">
        <v>558</v>
      </c>
      <c r="D222" s="112" t="s">
        <v>16</v>
      </c>
      <c r="E222" s="112" t="s">
        <v>1485</v>
      </c>
      <c r="F222" s="114">
        <v>1</v>
      </c>
      <c r="G222" s="112">
        <v>6790</v>
      </c>
      <c r="H222" s="112" t="s">
        <v>1292</v>
      </c>
      <c r="I222" s="112" t="s">
        <v>1003</v>
      </c>
      <c r="J222" s="113" t="s">
        <v>557</v>
      </c>
      <c r="K222" s="112" t="s">
        <v>13</v>
      </c>
      <c r="L222" s="113" t="s">
        <v>6</v>
      </c>
      <c r="M222" s="112">
        <v>1</v>
      </c>
      <c r="N222" s="112">
        <v>0</v>
      </c>
      <c r="O222" s="112">
        <v>0</v>
      </c>
      <c r="P222" s="112" t="s">
        <v>1548</v>
      </c>
      <c r="Q222" s="112"/>
      <c r="R222" s="70"/>
    </row>
    <row r="223" spans="1:18" s="69" customFormat="1" ht="20.25" customHeight="1" x14ac:dyDescent="0.2">
      <c r="A223" s="115" t="s">
        <v>59</v>
      </c>
      <c r="B223" s="115" t="s">
        <v>61</v>
      </c>
      <c r="C223" s="116" t="s">
        <v>60</v>
      </c>
      <c r="D223" s="115" t="s">
        <v>16</v>
      </c>
      <c r="E223" s="115" t="s">
        <v>1383</v>
      </c>
      <c r="F223" s="117">
        <v>7</v>
      </c>
      <c r="G223" s="115">
        <v>3980</v>
      </c>
      <c r="H223" s="115" t="s">
        <v>1178</v>
      </c>
      <c r="I223" s="115" t="s">
        <v>59</v>
      </c>
      <c r="J223" s="116" t="s">
        <v>58</v>
      </c>
      <c r="K223" s="115" t="s">
        <v>13</v>
      </c>
      <c r="L223" s="116" t="s">
        <v>6</v>
      </c>
      <c r="M223" s="115">
        <v>1</v>
      </c>
      <c r="N223" s="115">
        <v>0</v>
      </c>
      <c r="O223" s="115">
        <v>0</v>
      </c>
      <c r="P223" s="115" t="s">
        <v>1549</v>
      </c>
      <c r="Q223" s="115" t="s">
        <v>1045</v>
      </c>
      <c r="R223" s="70"/>
    </row>
    <row r="224" spans="1:18" s="69" customFormat="1" ht="20.25" customHeight="1" x14ac:dyDescent="0.2">
      <c r="A224" s="112" t="s">
        <v>55</v>
      </c>
      <c r="B224" s="112" t="s">
        <v>57</v>
      </c>
      <c r="C224" s="113" t="s">
        <v>56</v>
      </c>
      <c r="D224" s="112" t="s">
        <v>16</v>
      </c>
      <c r="E224" s="112" t="s">
        <v>1550</v>
      </c>
      <c r="F224" s="114">
        <v>14</v>
      </c>
      <c r="G224" s="112">
        <v>2260</v>
      </c>
      <c r="H224" s="112" t="s">
        <v>1551</v>
      </c>
      <c r="I224" s="112" t="s">
        <v>55</v>
      </c>
      <c r="J224" s="113" t="s">
        <v>54</v>
      </c>
      <c r="K224" s="112" t="s">
        <v>13</v>
      </c>
      <c r="L224" s="113" t="s">
        <v>6</v>
      </c>
      <c r="M224" s="112">
        <v>1</v>
      </c>
      <c r="N224" s="112">
        <v>1</v>
      </c>
      <c r="O224" s="112">
        <v>0</v>
      </c>
      <c r="P224" s="112" t="s">
        <v>1552</v>
      </c>
      <c r="Q224" s="112" t="s">
        <v>1098</v>
      </c>
      <c r="R224" s="70"/>
    </row>
    <row r="225" spans="1:18" s="69" customFormat="1" ht="20.25" customHeight="1" x14ac:dyDescent="0.2">
      <c r="A225" s="115" t="s">
        <v>51</v>
      </c>
      <c r="B225" s="115" t="s">
        <v>53</v>
      </c>
      <c r="C225" s="116" t="s">
        <v>52</v>
      </c>
      <c r="D225" s="115" t="s">
        <v>16</v>
      </c>
      <c r="E225" s="115" t="s">
        <v>1553</v>
      </c>
      <c r="F225" s="117">
        <v>33</v>
      </c>
      <c r="G225" s="115">
        <v>2250</v>
      </c>
      <c r="H225" s="115" t="s">
        <v>1554</v>
      </c>
      <c r="I225" s="115" t="s">
        <v>51</v>
      </c>
      <c r="J225" s="116" t="s">
        <v>50</v>
      </c>
      <c r="K225" s="115" t="s">
        <v>13</v>
      </c>
      <c r="L225" s="116" t="s">
        <v>6</v>
      </c>
      <c r="M225" s="115">
        <v>1</v>
      </c>
      <c r="N225" s="115">
        <v>0</v>
      </c>
      <c r="O225" s="115">
        <v>0</v>
      </c>
      <c r="P225" s="115" t="s">
        <v>1555</v>
      </c>
      <c r="Q225" s="115" t="s">
        <v>1556</v>
      </c>
      <c r="R225" s="70"/>
    </row>
    <row r="226" spans="1:18" s="69" customFormat="1" ht="20.25" customHeight="1" x14ac:dyDescent="0.2">
      <c r="A226" s="162" t="s">
        <v>1602</v>
      </c>
      <c r="B226" s="162" t="s">
        <v>1599</v>
      </c>
      <c r="C226" s="163">
        <v>42995</v>
      </c>
      <c r="D226" s="162" t="s">
        <v>92</v>
      </c>
      <c r="E226" s="162" t="s">
        <v>1604</v>
      </c>
      <c r="F226" s="164">
        <v>1700</v>
      </c>
      <c r="G226" s="162">
        <v>9130</v>
      </c>
      <c r="H226" s="162" t="s">
        <v>1032</v>
      </c>
      <c r="I226" s="162" t="s">
        <v>1607</v>
      </c>
      <c r="J226" s="165" t="s">
        <v>1608</v>
      </c>
      <c r="K226" s="162" t="s">
        <v>13</v>
      </c>
      <c r="L226" s="163" t="s">
        <v>6</v>
      </c>
      <c r="M226" s="162">
        <v>1</v>
      </c>
      <c r="N226" s="162">
        <v>0</v>
      </c>
      <c r="O226" s="162">
        <v>0</v>
      </c>
      <c r="P226" s="162" t="s">
        <v>1614</v>
      </c>
      <c r="Q226" s="162"/>
      <c r="R226" s="70"/>
    </row>
    <row r="227" spans="1:18" s="69" customFormat="1" ht="20.25" customHeight="1" x14ac:dyDescent="0.2">
      <c r="A227" s="112" t="s">
        <v>47</v>
      </c>
      <c r="B227" s="112" t="s">
        <v>49</v>
      </c>
      <c r="C227" s="113" t="s">
        <v>48</v>
      </c>
      <c r="D227" s="112" t="s">
        <v>16</v>
      </c>
      <c r="E227" s="112" t="s">
        <v>1557</v>
      </c>
      <c r="F227" s="114">
        <v>30</v>
      </c>
      <c r="G227" s="112">
        <v>9600</v>
      </c>
      <c r="H227" s="112" t="s">
        <v>1558</v>
      </c>
      <c r="I227" s="112" t="s">
        <v>47</v>
      </c>
      <c r="J227" s="113" t="s">
        <v>46</v>
      </c>
      <c r="K227" s="112" t="s">
        <v>13</v>
      </c>
      <c r="L227" s="113" t="s">
        <v>6</v>
      </c>
      <c r="M227" s="112">
        <v>1</v>
      </c>
      <c r="N227" s="112">
        <v>1</v>
      </c>
      <c r="O227" s="112">
        <v>1</v>
      </c>
      <c r="P227" s="112" t="s">
        <v>1559</v>
      </c>
      <c r="Q227" s="112"/>
      <c r="R227" s="70"/>
    </row>
    <row r="228" spans="1:18" s="69" customFormat="1" ht="20.25" customHeight="1" x14ac:dyDescent="0.2">
      <c r="A228" s="115" t="s">
        <v>43</v>
      </c>
      <c r="B228" s="115" t="s">
        <v>45</v>
      </c>
      <c r="C228" s="116" t="s">
        <v>44</v>
      </c>
      <c r="D228" s="115" t="s">
        <v>16</v>
      </c>
      <c r="E228" s="115" t="s">
        <v>1560</v>
      </c>
      <c r="F228" s="117">
        <v>11</v>
      </c>
      <c r="G228" s="115">
        <v>3650</v>
      </c>
      <c r="H228" s="115" t="s">
        <v>1561</v>
      </c>
      <c r="I228" s="115" t="s">
        <v>43</v>
      </c>
      <c r="J228" s="116" t="s">
        <v>42</v>
      </c>
      <c r="K228" s="115" t="s">
        <v>13</v>
      </c>
      <c r="L228" s="116" t="s">
        <v>6</v>
      </c>
      <c r="M228" s="115">
        <v>1</v>
      </c>
      <c r="N228" s="115">
        <v>0</v>
      </c>
      <c r="O228" s="115">
        <v>0</v>
      </c>
      <c r="P228" s="115" t="s">
        <v>1562</v>
      </c>
      <c r="Q228" s="115"/>
      <c r="R228" s="70"/>
    </row>
    <row r="229" spans="1:18" s="69" customFormat="1" ht="20.25" customHeight="1" x14ac:dyDescent="0.2">
      <c r="A229" s="112" t="s">
        <v>41</v>
      </c>
      <c r="B229" s="112" t="s">
        <v>40</v>
      </c>
      <c r="C229" s="113" t="s">
        <v>39</v>
      </c>
      <c r="D229" s="112" t="s">
        <v>16</v>
      </c>
      <c r="E229" s="112" t="s">
        <v>1231</v>
      </c>
      <c r="F229" s="114">
        <v>81</v>
      </c>
      <c r="G229" s="112">
        <v>3920</v>
      </c>
      <c r="H229" s="112" t="s">
        <v>1233</v>
      </c>
      <c r="I229" s="112" t="s">
        <v>38</v>
      </c>
      <c r="J229" s="113" t="s">
        <v>37</v>
      </c>
      <c r="K229" s="112" t="s">
        <v>13</v>
      </c>
      <c r="L229" s="113" t="s">
        <v>6</v>
      </c>
      <c r="M229" s="112">
        <v>1</v>
      </c>
      <c r="N229" s="112">
        <v>0</v>
      </c>
      <c r="O229" s="112">
        <v>0</v>
      </c>
      <c r="P229" s="112" t="s">
        <v>1563</v>
      </c>
      <c r="Q229" s="112" t="s">
        <v>1564</v>
      </c>
      <c r="R229" s="70"/>
    </row>
    <row r="230" spans="1:18" ht="20.25" customHeight="1" x14ac:dyDescent="0.2">
      <c r="A230" s="115" t="s">
        <v>33</v>
      </c>
      <c r="B230" s="115" t="s">
        <v>36</v>
      </c>
      <c r="C230" s="116" t="s">
        <v>35</v>
      </c>
      <c r="D230" s="115" t="s">
        <v>16</v>
      </c>
      <c r="E230" s="115" t="s">
        <v>1565</v>
      </c>
      <c r="F230" s="117">
        <v>25</v>
      </c>
      <c r="G230" s="115">
        <v>9000</v>
      </c>
      <c r="H230" s="115" t="s">
        <v>34</v>
      </c>
      <c r="I230" s="115" t="s">
        <v>33</v>
      </c>
      <c r="J230" s="116" t="s">
        <v>32</v>
      </c>
      <c r="K230" s="115" t="s">
        <v>13</v>
      </c>
      <c r="L230" s="116" t="s">
        <v>6</v>
      </c>
      <c r="M230" s="115">
        <v>1</v>
      </c>
      <c r="N230" s="115">
        <v>1</v>
      </c>
      <c r="O230" s="115">
        <v>1</v>
      </c>
      <c r="P230" s="115" t="s">
        <v>1566</v>
      </c>
      <c r="Q230" s="115"/>
    </row>
    <row r="231" spans="1:18" ht="20.25" customHeight="1" x14ac:dyDescent="0.2">
      <c r="A231" s="112" t="s">
        <v>29</v>
      </c>
      <c r="B231" s="112" t="s">
        <v>31</v>
      </c>
      <c r="C231" s="113" t="s">
        <v>30</v>
      </c>
      <c r="D231" s="112" t="s">
        <v>16</v>
      </c>
      <c r="E231" s="112" t="s">
        <v>1137</v>
      </c>
      <c r="F231" s="114">
        <v>16</v>
      </c>
      <c r="G231" s="112">
        <v>2030</v>
      </c>
      <c r="H231" s="112" t="s">
        <v>1050</v>
      </c>
      <c r="I231" s="112" t="s">
        <v>29</v>
      </c>
      <c r="J231" s="113" t="s">
        <v>28</v>
      </c>
      <c r="K231" s="112" t="s">
        <v>13</v>
      </c>
      <c r="L231" s="113" t="s">
        <v>6</v>
      </c>
      <c r="M231" s="112">
        <v>1</v>
      </c>
      <c r="N231" s="112">
        <v>0</v>
      </c>
      <c r="O231" s="112">
        <v>0</v>
      </c>
      <c r="P231" s="112" t="s">
        <v>1567</v>
      </c>
      <c r="Q231" s="112" t="s">
        <v>1611</v>
      </c>
    </row>
    <row r="232" spans="1:18" ht="20.25" customHeight="1" x14ac:dyDescent="0.2">
      <c r="A232" s="115" t="s">
        <v>25</v>
      </c>
      <c r="B232" s="115" t="s">
        <v>27</v>
      </c>
      <c r="C232" s="116" t="s">
        <v>26</v>
      </c>
      <c r="D232" s="115" t="s">
        <v>16</v>
      </c>
      <c r="E232" s="115" t="s">
        <v>1568</v>
      </c>
      <c r="F232" s="117">
        <v>2030</v>
      </c>
      <c r="G232" s="115">
        <v>3980</v>
      </c>
      <c r="H232" s="115" t="s">
        <v>1178</v>
      </c>
      <c r="I232" s="115" t="s">
        <v>25</v>
      </c>
      <c r="J232" s="116" t="s">
        <v>24</v>
      </c>
      <c r="K232" s="115" t="s">
        <v>13</v>
      </c>
      <c r="L232" s="116" t="s">
        <v>19</v>
      </c>
      <c r="M232" s="115">
        <v>1</v>
      </c>
      <c r="N232" s="115">
        <v>0</v>
      </c>
      <c r="O232" s="115">
        <v>0</v>
      </c>
      <c r="P232" s="115" t="s">
        <v>1569</v>
      </c>
      <c r="Q232" s="115"/>
    </row>
    <row r="233" spans="1:18" ht="20.25" customHeight="1" x14ac:dyDescent="0.2">
      <c r="A233" s="112" t="s">
        <v>21</v>
      </c>
      <c r="B233" s="112" t="s">
        <v>23</v>
      </c>
      <c r="C233" s="113" t="s">
        <v>22</v>
      </c>
      <c r="D233" s="112" t="s">
        <v>16</v>
      </c>
      <c r="E233" s="112" t="s">
        <v>1570</v>
      </c>
      <c r="F233" s="161">
        <v>145</v>
      </c>
      <c r="G233" s="112">
        <v>3620</v>
      </c>
      <c r="H233" s="112" t="s">
        <v>1571</v>
      </c>
      <c r="I233" s="112" t="s">
        <v>21</v>
      </c>
      <c r="J233" s="113" t="s">
        <v>20</v>
      </c>
      <c r="K233" s="112" t="s">
        <v>13</v>
      </c>
      <c r="L233" s="113" t="s">
        <v>19</v>
      </c>
      <c r="M233" s="112">
        <v>0</v>
      </c>
      <c r="N233" s="112">
        <v>1</v>
      </c>
      <c r="O233" s="112">
        <v>0</v>
      </c>
      <c r="P233" s="112" t="s">
        <v>1572</v>
      </c>
      <c r="Q233" s="112"/>
    </row>
    <row r="234" spans="1:18" ht="20.25" customHeight="1" x14ac:dyDescent="0.2">
      <c r="A234" s="115" t="s">
        <v>15</v>
      </c>
      <c r="B234" s="115" t="s">
        <v>18</v>
      </c>
      <c r="C234" s="116" t="s">
        <v>17</v>
      </c>
      <c r="D234" s="115" t="s">
        <v>16</v>
      </c>
      <c r="E234" s="115" t="s">
        <v>1573</v>
      </c>
      <c r="F234" s="117">
        <v>10</v>
      </c>
      <c r="G234" s="115">
        <v>7333</v>
      </c>
      <c r="H234" s="115" t="s">
        <v>1207</v>
      </c>
      <c r="I234" s="115" t="s">
        <v>15</v>
      </c>
      <c r="J234" s="116" t="s">
        <v>14</v>
      </c>
      <c r="K234" s="115" t="s">
        <v>13</v>
      </c>
      <c r="L234" s="116" t="s">
        <v>6</v>
      </c>
      <c r="M234" s="115">
        <v>1</v>
      </c>
      <c r="N234" s="115">
        <v>0</v>
      </c>
      <c r="O234" s="115">
        <v>0</v>
      </c>
      <c r="P234" s="115" t="s">
        <v>1574</v>
      </c>
      <c r="Q234" s="115"/>
    </row>
    <row r="235" spans="1:18" ht="20.25" customHeight="1" x14ac:dyDescent="0.2">
      <c r="A235" s="112" t="s">
        <v>9</v>
      </c>
      <c r="B235" s="112" t="s">
        <v>12</v>
      </c>
      <c r="C235" s="113" t="s">
        <v>11</v>
      </c>
      <c r="D235" s="112" t="s">
        <v>10</v>
      </c>
      <c r="E235" s="112" t="s">
        <v>1575</v>
      </c>
      <c r="F235" s="114">
        <v>600</v>
      </c>
      <c r="G235" s="112">
        <v>2040</v>
      </c>
      <c r="H235" s="112" t="s">
        <v>1050</v>
      </c>
      <c r="I235" s="112" t="s">
        <v>9</v>
      </c>
      <c r="J235" s="113" t="s">
        <v>8</v>
      </c>
      <c r="K235" s="112" t="s">
        <v>7</v>
      </c>
      <c r="L235" s="113" t="s">
        <v>6</v>
      </c>
      <c r="M235" s="112">
        <v>1</v>
      </c>
      <c r="N235" s="112">
        <v>0</v>
      </c>
      <c r="O235" s="112">
        <v>0</v>
      </c>
      <c r="P235" s="112" t="s">
        <v>1576</v>
      </c>
      <c r="Q235" s="112"/>
    </row>
  </sheetData>
  <sheetProtection selectLockedCells="1" selectUnlockedCells="1"/>
  <autoFilter ref="A1:Q235" xr:uid="{DE6AB7D8-5834-42F5-A4D8-93B57AC219DF}">
    <sortState xmlns:xlrd2="http://schemas.microsoft.com/office/spreadsheetml/2017/richdata2" ref="A2:Q235">
      <sortCondition ref="A1:A232"/>
    </sortState>
  </autoFilter>
  <phoneticPr fontId="3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Simulation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Tenret Didier</cp:lastModifiedBy>
  <cp:lastPrinted>2011-03-02T08:42:06Z</cp:lastPrinted>
  <dcterms:created xsi:type="dcterms:W3CDTF">2005-02-08T08:04:03Z</dcterms:created>
  <dcterms:modified xsi:type="dcterms:W3CDTF">2024-05-30T12:53:08Z</dcterms:modified>
</cp:coreProperties>
</file>